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awid\Desktop\Przykłady dla inwestorów\Do artykułów\"/>
    </mc:Choice>
  </mc:AlternateContent>
  <xr:revisionPtr revIDLastSave="0" documentId="13_ncr:1_{EFA3CEC3-EC47-4005-8932-6926691CFC8C}" xr6:coauthVersionLast="44" xr6:coauthVersionMax="44" xr10:uidLastSave="{00000000-0000-0000-0000-000000000000}"/>
  <bookViews>
    <workbookView xWindow="-108" yWindow="-108" windowWidth="23256" windowHeight="12600" xr2:uid="{9B581F3E-F13D-49A1-AE0F-B952BB46F0B3}"/>
  </bookViews>
  <sheets>
    <sheet name="Info" sheetId="7" r:id="rId1"/>
    <sheet name="Ind_bez_zm" sheetId="1" r:id="rId2"/>
    <sheet name="Ind_ze_zm" sheetId="2" r:id="rId3"/>
    <sheet name="Ind_z_dyw" sheetId="3" r:id="rId4"/>
    <sheet name="iNAV_bez_dyw" sheetId="5" r:id="rId5"/>
    <sheet name="iNAV_z_dyw" sheetId="4" r:id="rId6"/>
    <sheet name="Kalkulator ETF"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6" l="1"/>
  <c r="H10" i="2"/>
  <c r="R10" i="3"/>
  <c r="R9" i="3"/>
  <c r="I6" i="6"/>
  <c r="E6" i="6"/>
  <c r="G17" i="6"/>
  <c r="H7" i="6"/>
  <c r="D7" i="6"/>
  <c r="H6" i="6"/>
  <c r="D6" i="6"/>
  <c r="I7" i="6"/>
  <c r="E7" i="6"/>
  <c r="G18" i="6"/>
  <c r="G9" i="6" l="1"/>
  <c r="G15" i="6"/>
  <c r="F9" i="6"/>
  <c r="N11" i="3"/>
  <c r="H13" i="6"/>
  <c r="F13" i="6"/>
  <c r="H12" i="6"/>
  <c r="F12" i="6"/>
  <c r="D15" i="6" l="1"/>
  <c r="E15" i="6"/>
  <c r="J10" i="2"/>
  <c r="J9" i="2"/>
  <c r="I9" i="2"/>
  <c r="I10" i="2"/>
  <c r="H9" i="2"/>
  <c r="D17" i="6"/>
  <c r="D18" i="6"/>
  <c r="E18" i="6"/>
  <c r="E17" i="6"/>
  <c r="G12" i="6" l="1"/>
  <c r="G13" i="6"/>
  <c r="C6" i="6"/>
  <c r="G6" i="6" s="1"/>
  <c r="I17" i="6"/>
  <c r="C7" i="6"/>
  <c r="F7" i="6" s="1"/>
  <c r="I18" i="6"/>
  <c r="F27" i="5"/>
  <c r="F15" i="4"/>
  <c r="F6" i="6" l="1"/>
  <c r="G7" i="6"/>
  <c r="G9" i="5"/>
  <c r="I9" i="5"/>
  <c r="H15" i="5"/>
  <c r="H13" i="5"/>
  <c r="H16" i="5" s="1"/>
  <c r="G10" i="5"/>
  <c r="F16" i="4"/>
  <c r="F16" i="5"/>
  <c r="F15" i="5"/>
  <c r="H28" i="5"/>
  <c r="H27" i="5"/>
  <c r="J27" i="5" s="1"/>
  <c r="H21" i="5"/>
  <c r="G19" i="5"/>
  <c r="I7" i="5"/>
  <c r="D26" i="5" s="1"/>
  <c r="I6" i="5"/>
  <c r="G18" i="5" l="1"/>
  <c r="G6" i="5"/>
  <c r="F6" i="5"/>
  <c r="E18" i="5" s="1"/>
  <c r="H20" i="5"/>
  <c r="H22" i="5" s="1"/>
  <c r="J28" i="5"/>
  <c r="F28" i="5"/>
  <c r="J28" i="4"/>
  <c r="J27" i="4"/>
  <c r="H28" i="4"/>
  <c r="H27" i="4"/>
  <c r="J9" i="5" l="1"/>
  <c r="I10" i="5"/>
  <c r="J10" i="5"/>
  <c r="F18" i="5"/>
  <c r="G13" i="5"/>
  <c r="G21" i="4"/>
  <c r="G20" i="4"/>
  <c r="D5" i="4"/>
  <c r="D4" i="4"/>
  <c r="F10" i="3"/>
  <c r="H10" i="3"/>
  <c r="M11" i="3" s="1"/>
  <c r="I10" i="3" l="1"/>
  <c r="G16" i="5"/>
  <c r="G15" i="5"/>
  <c r="I6" i="4"/>
  <c r="G6" i="4" s="1"/>
  <c r="G19" i="4"/>
  <c r="I7" i="4"/>
  <c r="D26" i="4" s="1"/>
  <c r="F28" i="4"/>
  <c r="H20" i="4"/>
  <c r="H21" i="4"/>
  <c r="L10" i="1"/>
  <c r="L9" i="1"/>
  <c r="L11" i="1" s="1"/>
  <c r="L10" i="2"/>
  <c r="L11" i="2" s="1"/>
  <c r="L9" i="2"/>
  <c r="L10" i="3"/>
  <c r="L11" i="3" s="1"/>
  <c r="L9" i="3"/>
  <c r="I14" i="3"/>
  <c r="J10" i="3"/>
  <c r="J9" i="3"/>
  <c r="H9" i="3"/>
  <c r="I9" i="3" s="1"/>
  <c r="F9" i="3"/>
  <c r="I8" i="3"/>
  <c r="H7" i="3"/>
  <c r="H13" i="3" s="1"/>
  <c r="F6" i="4" l="1"/>
  <c r="E18" i="4" s="1"/>
  <c r="H13" i="4"/>
  <c r="D27" i="5"/>
  <c r="D28" i="5"/>
  <c r="G18" i="4"/>
  <c r="H22" i="4"/>
  <c r="F18" i="4"/>
  <c r="G13" i="4"/>
  <c r="F7" i="3"/>
  <c r="F13" i="3" s="1"/>
  <c r="I14" i="2"/>
  <c r="F10" i="2"/>
  <c r="F9" i="2"/>
  <c r="I8" i="2"/>
  <c r="H7" i="2"/>
  <c r="H13" i="2" s="1"/>
  <c r="F7" i="2"/>
  <c r="F13" i="2" s="1"/>
  <c r="J10" i="1"/>
  <c r="J9" i="1"/>
  <c r="H16" i="4" l="1"/>
  <c r="J10" i="4" s="1"/>
  <c r="H15" i="4"/>
  <c r="I9" i="4" s="1"/>
  <c r="K28" i="5"/>
  <c r="M28" i="5"/>
  <c r="L28" i="5"/>
  <c r="K27" i="5"/>
  <c r="M27" i="5"/>
  <c r="L27" i="5"/>
  <c r="G16" i="4"/>
  <c r="G10" i="4" s="1"/>
  <c r="G15" i="4"/>
  <c r="G9" i="4" s="1"/>
  <c r="H10" i="1"/>
  <c r="I10" i="1" s="1"/>
  <c r="H9" i="1"/>
  <c r="I9" i="1" s="1"/>
  <c r="F10" i="1"/>
  <c r="F9" i="1"/>
  <c r="H7" i="1"/>
  <c r="H13" i="1" s="1"/>
  <c r="F7" i="1"/>
  <c r="F13" i="1" s="1"/>
  <c r="I8" i="1"/>
  <c r="I14" i="1"/>
  <c r="I10" i="4" l="1"/>
  <c r="D28" i="4" s="1"/>
  <c r="M28" i="4" s="1"/>
  <c r="J9" i="4"/>
  <c r="D27" i="4"/>
  <c r="M27" i="4" s="1"/>
  <c r="K28" i="4" l="1"/>
  <c r="L28" i="4"/>
  <c r="K27" i="4"/>
  <c r="L27" i="4"/>
  <c r="F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Dawid</author>
  </authors>
  <commentList>
    <comment ref="F8" authorId="0" shapeId="0" xr:uid="{688A91AE-FBFF-495F-A121-6E8788CE3B53}">
      <text>
        <r>
          <rPr>
            <b/>
            <sz val="9"/>
            <color indexed="81"/>
            <rFont val="Tahoma"/>
            <family val="2"/>
            <charset val="238"/>
          </rPr>
          <t xml:space="preserve">Korektor obliczony tylko na potrzeby ukazania jego wartości dla danego dnia. </t>
        </r>
        <r>
          <rPr>
            <sz val="9"/>
            <color indexed="81"/>
            <rFont val="Tahoma"/>
            <family val="2"/>
            <charset val="238"/>
          </rPr>
          <t>W rzeczywistości jego wartość jest dana na początku dnia (tak jak w kolumnie H), a to cena zamknięcia jest pochodną wartości korektora.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Dawid</author>
  </authors>
  <commentList>
    <comment ref="F8" authorId="0" shapeId="0" xr:uid="{A9B3088F-FABE-460B-93D2-4144F9DF6977}">
      <text>
        <r>
          <rPr>
            <b/>
            <sz val="9"/>
            <color indexed="81"/>
            <rFont val="Tahoma"/>
            <family val="2"/>
            <charset val="238"/>
          </rPr>
          <t xml:space="preserve">Korektor obliczony tylko na potrzeby ukazania jego wartości dla danego dnia. </t>
        </r>
        <r>
          <rPr>
            <sz val="9"/>
            <color indexed="81"/>
            <rFont val="Tahoma"/>
            <family val="2"/>
            <charset val="238"/>
          </rPr>
          <t>W rzeczywistości jego wartość jest dana na początku dnia (tak jak w kolumnie H), a to cena zamknięcia jest pochodną wartości korektora.</t>
        </r>
      </text>
    </comment>
    <comment ref="H9" authorId="0" shapeId="0" xr:uid="{BAF48B3C-03E3-4146-AD83-8BEA368D16C6}">
      <text>
        <r>
          <rPr>
            <sz val="9"/>
            <color indexed="81"/>
            <rFont val="Tahoma"/>
            <family val="2"/>
            <charset val="238"/>
          </rPr>
          <t>Wraz ze zmianą struktury indeksu zmienia się również wartość korektora</t>
        </r>
      </text>
    </comment>
    <comment ref="H10" authorId="0" shapeId="0" xr:uid="{345A7B29-DA13-4326-A3B4-FB13D7B69A07}">
      <text>
        <r>
          <rPr>
            <sz val="9"/>
            <color indexed="81"/>
            <rFont val="Tahoma"/>
            <family val="2"/>
            <charset val="238"/>
          </rPr>
          <t>Wraz ze zmianą struktury indeksu zmienia się również wartość korektora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Dawid</author>
  </authors>
  <commentList>
    <comment ref="F8" authorId="0" shapeId="0" xr:uid="{F6BC14CE-F4B7-4CBC-A29C-13FA6C22E7F0}">
      <text>
        <r>
          <rPr>
            <b/>
            <sz val="9"/>
            <color indexed="81"/>
            <rFont val="Tahoma"/>
            <family val="2"/>
            <charset val="238"/>
          </rPr>
          <t xml:space="preserve">Korektor obliczony tylko na potrzeby ukazania jego wartości dla danego dnia. </t>
        </r>
        <r>
          <rPr>
            <sz val="9"/>
            <color indexed="81"/>
            <rFont val="Tahoma"/>
            <family val="2"/>
            <charset val="238"/>
          </rPr>
          <t>W rzeczywistości jego wartość jest dana na początku dnia (tak jak w kolumnie H), a to cena zamknięcia jest pochodną wartości korektora.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Dawid</author>
  </authors>
  <commentList>
    <comment ref="G8" authorId="0" shapeId="0" xr:uid="{78CB9759-5A74-4535-8CE6-B243E066840A}">
      <text>
        <r>
          <rPr>
            <sz val="9"/>
            <color indexed="81"/>
            <rFont val="Tahoma"/>
            <family val="2"/>
            <charset val="238"/>
          </rPr>
          <t>Dla pokazania, na ile szacowana wycena mogła się różnić od faktycznej</t>
        </r>
      </text>
    </comment>
    <comment ref="G10" authorId="0" shapeId="0" xr:uid="{4F8B88A2-B607-4A0A-8B43-710368F82C8F}">
      <text>
        <r>
          <rPr>
            <sz val="9"/>
            <color indexed="81"/>
            <rFont val="Tahoma"/>
            <family val="2"/>
            <charset val="238"/>
          </rPr>
          <t>Tak naprawdę powinniśmy zastosować wzór korygujący o podatek od dywidendy, jednak z uwagi na niewielką stopę dywidendy indeksu w tym dniu (ok. 0,008%), nie zmieniłby on znacząco obliczonej wartości.</t>
        </r>
      </text>
    </comment>
    <comment ref="I10" authorId="0" shapeId="0" xr:uid="{C0D8CC7E-DF17-4332-9011-867EB4AD3599}">
      <text>
        <r>
          <rPr>
            <sz val="9"/>
            <color indexed="81"/>
            <rFont val="Tahoma"/>
            <family val="2"/>
            <charset val="238"/>
          </rPr>
          <t>Fundusz odwzorowywuje swoimi wynikami indeks typu net total return (NTR) o stawce opodatkowania dywidend na poziomie 15%. Nie mając publikowanego indeksu typu NTR, możemy posiłkować się albo indeksem cenowym, albo indeksem dochodowym typu (gross) total return (TR lub GTR), przy czym musimy wprowadzić do niego odpowiednie korekty.</t>
        </r>
      </text>
    </comment>
    <comment ref="J10" authorId="0" shapeId="0" xr:uid="{039417A0-D441-45D4-8F52-B4D9FCB0B048}">
      <text>
        <r>
          <rPr>
            <sz val="9"/>
            <color indexed="81"/>
            <rFont val="Tahoma"/>
            <family val="2"/>
            <charset val="238"/>
          </rPr>
          <t>Fundusz odwzorowywuje swoimi wynikami indeks typu net total return (NTR) o stawce opodatkowania dywidend na poziomie 15%. Nie mając publikowanego indeksu typu NTR, możemy posiłkować się albo indeksem cenowym, albo indeksem dochodowym typu (gross) total return (TR lub GTR), przy czym musimy wprowadzić do niego odpowiednie korekty.</t>
        </r>
      </text>
    </comment>
    <comment ref="H22" authorId="0" shapeId="0" xr:uid="{F8E073B2-0025-4D1A-A73C-0B837F1AD3D6}">
      <text>
        <r>
          <rPr>
            <sz val="9"/>
            <color indexed="81"/>
            <rFont val="Tahoma"/>
            <family val="2"/>
            <charset val="238"/>
          </rPr>
          <t>W tym dniu nie było żadnej dywidendy. Ta wartość wynika z możliwej minimalnej rozbieżności w czasie pobierania danych przez GPW do wyliczania poziomów indeksów.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Dawid</author>
  </authors>
  <commentList>
    <comment ref="G8" authorId="0" shapeId="0" xr:uid="{27D90F37-144A-48EC-B326-862624ACEBA7}">
      <text>
        <r>
          <rPr>
            <sz val="9"/>
            <color indexed="81"/>
            <rFont val="Tahoma"/>
            <family val="2"/>
            <charset val="238"/>
          </rPr>
          <t>Dla pokazania, na ile szacowana wycena mogła się różnić od faktycznej</t>
        </r>
      </text>
    </comment>
    <comment ref="G10" authorId="0" shapeId="0" xr:uid="{572A6993-939F-4302-8004-9DEE6DEF66DE}">
      <text>
        <r>
          <rPr>
            <sz val="9"/>
            <color indexed="81"/>
            <rFont val="Tahoma"/>
            <family val="2"/>
            <charset val="238"/>
          </rPr>
          <t>Tak naprawdę powinniśmy zastosować wzór korygujący o podatek od dywidendy, jednak z uwagi na brak dywidendy w tym dniu, obliczona wartość byłaby identyczna.</t>
        </r>
      </text>
    </comment>
    <comment ref="I10" authorId="0" shapeId="0" xr:uid="{B4C1FCFC-8332-4B5B-853F-9445804F2071}">
      <text>
        <r>
          <rPr>
            <sz val="9"/>
            <color indexed="81"/>
            <rFont val="Tahoma"/>
            <family val="2"/>
            <charset val="238"/>
          </rPr>
          <t>Fundusz odwzorowywuje swoimi wynikami indeks typu net total return (NTR) o stawce opodatkowania dywidend na poziomie 15%. Nie mając publikowanego indeksu typu NTR, możemy posiłkować się albo indeksem cenowym, albo indeksem dochodowym typu (gross) total return (TR lub GTR), przy czym musimy wprowadzić do niego odpowiednie korekty.</t>
        </r>
      </text>
    </comment>
    <comment ref="J10" authorId="0" shapeId="0" xr:uid="{FF183620-B710-4B64-A0FA-C51A36C3465E}">
      <text>
        <r>
          <rPr>
            <sz val="9"/>
            <color indexed="81"/>
            <rFont val="Tahoma"/>
            <family val="2"/>
            <charset val="238"/>
          </rPr>
          <t>Fundusz odwzorowywuje swoimi wynikami indeks typu net total return (NTR) o stawce opodatkowania dywidend na poziomie 15%. Nie mając publikowanego indeksu typu NTR, możemy posiłkować się albo indeksem cenowym, albo indeksem dochodowym typu (gross) total return (TR lub GTR), przy czym musimy wprowadzić do niego odpowiednie korekty.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Dawid</author>
  </authors>
  <commentList>
    <comment ref="C2" authorId="0" shapeId="0" xr:uid="{D484B75A-642C-4339-8BCE-8BF6579A0BD6}">
      <text>
        <r>
          <rPr>
            <b/>
            <sz val="9"/>
            <color indexed="81"/>
            <rFont val="Tahoma"/>
            <family val="2"/>
            <charset val="238"/>
          </rPr>
          <t xml:space="preserve">"Włącznik kalkulacji"
</t>
        </r>
        <r>
          <rPr>
            <sz val="9"/>
            <color indexed="81"/>
            <rFont val="Tahoma"/>
            <family val="2"/>
            <charset val="238"/>
          </rPr>
          <t>Każda liczb inna od "0" rozpoczyna kalkulację iNAV</t>
        </r>
      </text>
    </comment>
  </commentList>
</comments>
</file>

<file path=xl/sharedStrings.xml><?xml version="1.0" encoding="utf-8"?>
<sst xmlns="http://schemas.openxmlformats.org/spreadsheetml/2006/main" count="603" uniqueCount="307">
  <si>
    <t>Indeks</t>
  </si>
  <si>
    <t>Przykład</t>
  </si>
  <si>
    <t>Data</t>
  </si>
  <si>
    <t>Godzina</t>
  </si>
  <si>
    <t>Indeks bez zmian</t>
  </si>
  <si>
    <t>mWIG40TR</t>
  </si>
  <si>
    <t>mWIG40</t>
  </si>
  <si>
    <t>Instrument</t>
  </si>
  <si>
    <t>Ticker</t>
  </si>
  <si>
    <t>Pakiet</t>
  </si>
  <si>
    <t>Cena zamknięcia</t>
  </si>
  <si>
    <t>Dywidenda</t>
  </si>
  <si>
    <t>ISIN</t>
  </si>
  <si>
    <t>11BIT</t>
  </si>
  <si>
    <t>PL11BTS00015</t>
  </si>
  <si>
    <t>AMICA</t>
  </si>
  <si>
    <t>PLAMICA00010</t>
  </si>
  <si>
    <t>AMREST</t>
  </si>
  <si>
    <t>ES0105375002</t>
  </si>
  <si>
    <t>ASSECOPOL</t>
  </si>
  <si>
    <t>PLSOFTB00016</t>
  </si>
  <si>
    <t>BENEFIT</t>
  </si>
  <si>
    <t>PLBNFTS00018</t>
  </si>
  <si>
    <t>BOGDANKA</t>
  </si>
  <si>
    <t>PLLWBGD00016</t>
  </si>
  <si>
    <t>BORYSZEW</t>
  </si>
  <si>
    <t>PLBRSZW00011</t>
  </si>
  <si>
    <t>BUDIMEX</t>
  </si>
  <si>
    <t>PLBUDMX00013</t>
  </si>
  <si>
    <t>CIECH</t>
  </si>
  <si>
    <t>PLCIECH00018</t>
  </si>
  <si>
    <t>CIGAMES</t>
  </si>
  <si>
    <t>PLCTINT00018</t>
  </si>
  <si>
    <t>COMARCH</t>
  </si>
  <si>
    <t>PLCOMAR00012</t>
  </si>
  <si>
    <t>DEVELIA</t>
  </si>
  <si>
    <t>PLLCCRP00017</t>
  </si>
  <si>
    <t>ECHO</t>
  </si>
  <si>
    <t>PLECHPS00019</t>
  </si>
  <si>
    <t>ENEA</t>
  </si>
  <si>
    <t>PLENEA000013</t>
  </si>
  <si>
    <t>ENERGA</t>
  </si>
  <si>
    <t>PLENERG00022</t>
  </si>
  <si>
    <t>EUROCASH</t>
  </si>
  <si>
    <t>PLEURCH00011</t>
  </si>
  <si>
    <t>FAMUR</t>
  </si>
  <si>
    <t>PLFAMUR00012</t>
  </si>
  <si>
    <t>FORTE</t>
  </si>
  <si>
    <t>PLFORTE00012</t>
  </si>
  <si>
    <t>GETIN</t>
  </si>
  <si>
    <t>PLGSPR000014</t>
  </si>
  <si>
    <t>GETINOBLE</t>
  </si>
  <si>
    <t>PLGETBK00012</t>
  </si>
  <si>
    <t>GPW</t>
  </si>
  <si>
    <t>PLGPW0000017</t>
  </si>
  <si>
    <t>GRUPAAZOTY</t>
  </si>
  <si>
    <t>PLZATRM00012</t>
  </si>
  <si>
    <t>GTC</t>
  </si>
  <si>
    <t>PLGTC0000037</t>
  </si>
  <si>
    <t>HANDLOWY</t>
  </si>
  <si>
    <t>PLBH00000012</t>
  </si>
  <si>
    <t>INGBSK</t>
  </si>
  <si>
    <t>PLBSK0000017</t>
  </si>
  <si>
    <t>INTERCARS</t>
  </si>
  <si>
    <t>PLINTCS00010</t>
  </si>
  <si>
    <t>KERNEL</t>
  </si>
  <si>
    <t>LU0327357389</t>
  </si>
  <si>
    <t>KETY</t>
  </si>
  <si>
    <t>PLKETY000011</t>
  </si>
  <si>
    <t>KRUK</t>
  </si>
  <si>
    <t>PLKRK0000010</t>
  </si>
  <si>
    <t>LIVECHAT</t>
  </si>
  <si>
    <t>PLLVTSF00010</t>
  </si>
  <si>
    <t>MABION</t>
  </si>
  <si>
    <t>PLMBION00016</t>
  </si>
  <si>
    <t>MILLENNIUM</t>
  </si>
  <si>
    <t>PLBIG0000016</t>
  </si>
  <si>
    <t>ORBIS</t>
  </si>
  <si>
    <t>PLORBIS00014</t>
  </si>
  <si>
    <t>PKPCARGO</t>
  </si>
  <si>
    <t>PLPKPCR00011</t>
  </si>
  <si>
    <t>PLAYWAY</t>
  </si>
  <si>
    <t>PLPLAYW00015</t>
  </si>
  <si>
    <t>POLIMEXMS</t>
  </si>
  <si>
    <t>PLMSTSD00019</t>
  </si>
  <si>
    <t>STALPROD</t>
  </si>
  <si>
    <t>PLSTLPD00017</t>
  </si>
  <si>
    <t>TRAKCJA</t>
  </si>
  <si>
    <t>PLTRKPL00014</t>
  </si>
  <si>
    <t>VRG</t>
  </si>
  <si>
    <t>PLVSTLA00011</t>
  </si>
  <si>
    <t>WIRTUALNA</t>
  </si>
  <si>
    <t>PLWRTPL00027</t>
  </si>
  <si>
    <t>Indeks bazowy</t>
  </si>
  <si>
    <t>Typ indeksu</t>
  </si>
  <si>
    <t>Cenowy</t>
  </si>
  <si>
    <t>mWIG40 Index</t>
  </si>
  <si>
    <t>mWIG40TR Index</t>
  </si>
  <si>
    <t>Korektor</t>
  </si>
  <si>
    <t>Oficjalny poziom</t>
  </si>
  <si>
    <t>Dochodowy</t>
  </si>
  <si>
    <t>11B PW Equity</t>
  </si>
  <si>
    <t>ACP PW Equity</t>
  </si>
  <si>
    <t>AMC PW Equity</t>
  </si>
  <si>
    <t>ATT PW Equity</t>
  </si>
  <si>
    <t>BDX PW Equity</t>
  </si>
  <si>
    <t>BFT PW Equity</t>
  </si>
  <si>
    <t>BHW PW Equity</t>
  </si>
  <si>
    <t>BNPPPL PW Equity</t>
  </si>
  <si>
    <t>PLBGZ0000010</t>
  </si>
  <si>
    <t>BRS PW Equity</t>
  </si>
  <si>
    <t>CAR PW Equity</t>
  </si>
  <si>
    <t>CIE PW Equity</t>
  </si>
  <si>
    <t>CIG PW Equity</t>
  </si>
  <si>
    <t>CMR PW Equity</t>
  </si>
  <si>
    <t>EAT PW Equity</t>
  </si>
  <si>
    <t>ECH PW Equity</t>
  </si>
  <si>
    <t>ENA PW Equity</t>
  </si>
  <si>
    <t>ENG PW Equity</t>
  </si>
  <si>
    <t>EUR PW Equity</t>
  </si>
  <si>
    <t>FMF PW Equity</t>
  </si>
  <si>
    <t>FTE PW Equity</t>
  </si>
  <si>
    <t>GNB PW Equity</t>
  </si>
  <si>
    <t>GPW PW Equity</t>
  </si>
  <si>
    <t>GTC PW Equity</t>
  </si>
  <si>
    <t>GTN PW Equity</t>
  </si>
  <si>
    <t>ING PW Equity</t>
  </si>
  <si>
    <t>KER PW Equity</t>
  </si>
  <si>
    <t>KRU PW Equity</t>
  </si>
  <si>
    <t>KTY PW Equity</t>
  </si>
  <si>
    <t>DVL PW Equity</t>
  </si>
  <si>
    <t>LVC PW Equity</t>
  </si>
  <si>
    <t>LWB PW Equity</t>
  </si>
  <si>
    <t>MAB PW Equity</t>
  </si>
  <si>
    <t>MIL PW Equity</t>
  </si>
  <si>
    <t>ORB PW Equity</t>
  </si>
  <si>
    <t>PKP PW Equity</t>
  </si>
  <si>
    <t>PLW PW Equity</t>
  </si>
  <si>
    <t>STP PW Equity</t>
  </si>
  <si>
    <t>TEN PW Equity</t>
  </si>
  <si>
    <t>PLTSQGM00016</t>
  </si>
  <si>
    <t>VRG PW Equity</t>
  </si>
  <si>
    <t>WPL PW Equity</t>
  </si>
  <si>
    <t>PXM PW Equity</t>
  </si>
  <si>
    <t>TRK PW Equity</t>
  </si>
  <si>
    <t>ALR PW EQUITY</t>
  </si>
  <si>
    <t>PLALIOR00045</t>
  </si>
  <si>
    <t>CCC PW EQUITY</t>
  </si>
  <si>
    <t>PLCCC0000016</t>
  </si>
  <si>
    <t>CDR PW EQUITY</t>
  </si>
  <si>
    <t>PLOPTTC00011</t>
  </si>
  <si>
    <t>CPS PW EQUITY</t>
  </si>
  <si>
    <t>PLCFRPT00013</t>
  </si>
  <si>
    <t>DNP PW EQUITY</t>
  </si>
  <si>
    <t>PLDINPL00011</t>
  </si>
  <si>
    <t>JSW PW EQUITY</t>
  </si>
  <si>
    <t>PLJSW0000015</t>
  </si>
  <si>
    <t>KGH PW EQUITY</t>
  </si>
  <si>
    <t>PLKGHM000017</t>
  </si>
  <si>
    <t>LPP PW EQUITY</t>
  </si>
  <si>
    <t>PLLPP0000011</t>
  </si>
  <si>
    <t>LTS PW EQUITY</t>
  </si>
  <si>
    <t>PLLOTOS00025</t>
  </si>
  <si>
    <t>MBK PW EQUITY</t>
  </si>
  <si>
    <t>PLBRE0000012</t>
  </si>
  <si>
    <t>OPL PW EQUITY</t>
  </si>
  <si>
    <t>PLTLKPL00017</t>
  </si>
  <si>
    <t>PEO PW EQUITY</t>
  </si>
  <si>
    <t>PLPEKAO00016</t>
  </si>
  <si>
    <t>PGE PW EQUITY</t>
  </si>
  <si>
    <t>PLPGER000010</t>
  </si>
  <si>
    <t>PGN PW EQUITY</t>
  </si>
  <si>
    <t>PLPGNIG00014</t>
  </si>
  <si>
    <t>PKN PW EQUITY</t>
  </si>
  <si>
    <t>PLPKN0000018</t>
  </si>
  <si>
    <t>PKO PW EQUITY</t>
  </si>
  <si>
    <t>PLPKO0000016</t>
  </si>
  <si>
    <t>PLY PW EQUITY</t>
  </si>
  <si>
    <t>LU1642887738</t>
  </si>
  <si>
    <t>PZU PW EQUITY</t>
  </si>
  <si>
    <t>PLPZU0000011</t>
  </si>
  <si>
    <t>SPL PW EQUITY</t>
  </si>
  <si>
    <t>PLBZ00000044</t>
  </si>
  <si>
    <t>TPE PW EQUITY</t>
  </si>
  <si>
    <t>PLTAURN00011</t>
  </si>
  <si>
    <t>Stopa zwrotu</t>
  </si>
  <si>
    <t>Kalkulacja bez korektora</t>
  </si>
  <si>
    <t>Indeks ze zmianą</t>
  </si>
  <si>
    <t>Lp.</t>
  </si>
  <si>
    <t>TSGAMES</t>
  </si>
  <si>
    <t>BNPPPL</t>
  </si>
  <si>
    <t>Indeks z dywidendą</t>
  </si>
  <si>
    <t>WIG20</t>
  </si>
  <si>
    <t>WIG20TR</t>
  </si>
  <si>
    <t>WIG20TR Index</t>
  </si>
  <si>
    <t>WIG20 Index</t>
  </si>
  <si>
    <t>Stopa dywidendy</t>
  </si>
  <si>
    <t>ALIOR</t>
  </si>
  <si>
    <t>CCC</t>
  </si>
  <si>
    <t>CDPROJEKT</t>
  </si>
  <si>
    <t>CYFRPLSAT</t>
  </si>
  <si>
    <t>DINOPL</t>
  </si>
  <si>
    <t>JSW</t>
  </si>
  <si>
    <t>KGHM</t>
  </si>
  <si>
    <t>LOTOS</t>
  </si>
  <si>
    <t>LPP</t>
  </si>
  <si>
    <t>MBANK</t>
  </si>
  <si>
    <t>ORANGEPL</t>
  </si>
  <si>
    <t>PEKAO</t>
  </si>
  <si>
    <t>PGE</t>
  </si>
  <si>
    <t>PGNIG</t>
  </si>
  <si>
    <t>PKNORLEN</t>
  </si>
  <si>
    <t>PKOBP</t>
  </si>
  <si>
    <t>PLAY</t>
  </si>
  <si>
    <t>PZU</t>
  </si>
  <si>
    <t>SANPL</t>
  </si>
  <si>
    <t>TAURONPE</t>
  </si>
  <si>
    <t>iNAV z dywidendą</t>
  </si>
  <si>
    <t>Fundusz</t>
  </si>
  <si>
    <t>Beta ETF WIG20TR</t>
  </si>
  <si>
    <t>Benchmark</t>
  </si>
  <si>
    <t>Lyxor ETF WIG20</t>
  </si>
  <si>
    <t>BETAW20TR PW EQUITY</t>
  </si>
  <si>
    <t>ETFW20L PW EQUITY</t>
  </si>
  <si>
    <t>WANCI</t>
  </si>
  <si>
    <t>Kalkulacja wg indeksu doch.</t>
  </si>
  <si>
    <t>Kalkulacja wg indeksu cenow.</t>
  </si>
  <si>
    <t>Oficjalne</t>
  </si>
  <si>
    <t>Szacowane</t>
  </si>
  <si>
    <t>Bid</t>
  </si>
  <si>
    <t>Ilość</t>
  </si>
  <si>
    <t>Ask</t>
  </si>
  <si>
    <t>Midspread</t>
  </si>
  <si>
    <t>Koszty roczne</t>
  </si>
  <si>
    <t>Stopa opodatk. dywidend</t>
  </si>
  <si>
    <t>Ilość dni od ostatniej wyceny</t>
  </si>
  <si>
    <t>Cena zamkn.</t>
  </si>
  <si>
    <t>Wartość
[w tys. PLN]</t>
  </si>
  <si>
    <t>iNAV vs.</t>
  </si>
  <si>
    <t>WYKORZYSTANIE iNAV</t>
  </si>
  <si>
    <t>Spread</t>
  </si>
  <si>
    <t>Market maker (Animator funduszu)</t>
  </si>
  <si>
    <t>Lyxor ETF WIG20:</t>
  </si>
  <si>
    <t>Beta ETF WIG20TR:</t>
  </si>
  <si>
    <t>iNAV bez dywidendy</t>
  </si>
  <si>
    <t>Beta ETF WIG20TR, Lyxor ETF WIG20</t>
  </si>
  <si>
    <t>Koszty na dzień</t>
  </si>
  <si>
    <t>1) Market maker (animator funduszu) kwotuje w punkt (midspread na poziomie iNAV). Oznacza to, że nie odchyla się w stosunku do rynku spodziewając się wyższego popytu lub podaży certyfikatów ze strony inwestorów.
2) Inwestor kupuje certyfikaty od market makera (o ile nie ma innych inwestorów chcących sprzedać certyfikaty po niższej cenie) o 0,315% drożej od ich prawdziwej wartości. Inwestor może również sprzedać certyfikaty market makerowi po cenie tańszej o 0,330% (czyli niekorzystnej dla inwestora) od ich prawdziwej wartości (chyba, że są inwestorzy chcący kupić tytuły uczestnictwa po wyższej cenie).
3) O ile taki stan przesunięcia kwotowań market makera utrzyma się przez całą sesję, to w sytuacji kupna i sprzedaży certyfikatów w tym samym dniu inwestor poniesie efektywny spread 0,64% (straci 0,315% na kupnie i 0,330% na sprzedaży).</t>
  </si>
  <si>
    <t>1) Market maker (animator funduszu) kwotuje będąc lekko (w porównaniu do wielkości spreadu) przesuniętym "w dół" (midspread powyżej iNAV). Oznacza to, że spodziewa się większej ilości inwestorów chcących sprzedać niż kupić tytuły uczestnictwa ETF-a.
2) Inwestor kupuje certyfikaty od market makera (o ile nie ma innych inwestorów chcących sprzedać certyfikaty po niższej cenie) o 0,250% drożej od ich prawdziwej wartości. Inwestor może również sprzedać certyfikaty market makerowi po cenie tańszej o 0,367% (czyli niekorzystnej dla inwestora) od ich prawdziwej wartości (chyba, że są inwestorzy chcący kupić tytuły uczestnictwa po wyższej cenie).
3) O ile taki stan przesunięcia kwotowań market makera utrzyma się przez całą sesję, to w sytuacji kupna i sprzedaży certyfikatów w tym samym dniu inwestor poniesie efektywny spread 0,62% (straci 0,250% na kupnie i 0,367% na sprzedaży).</t>
  </si>
  <si>
    <t>1) Market maker (animator funduszu) kwotuje będąc przesuniętym "w górę" (midspread powyżej iNAV). Oznacza to, że spodziewa się większej ilości inwestorów chcących kupić certyfikaty ETF-a niż tych, którzy chcą je sprzedać.
2) Inwestor kupuje certyfikaty od market makera (o ile nie ma innych inwestorów chcących sprzedać certyfikaty po niższej cenie) o 0,265% drożej od ich prawdziwej wartości. Inwestor może również sprzedać certyfikaty market makerowi po cenie droższej o 0,097% (czyli korzystniejszej dla inwestora) od ich prawdziwej wartości.
3) O ile taki stan przesunięcia kwotowań market makera utrzyma się przez całą sesję, to w sytuacji kupna i sprzedaży certyfikatów w tym samym dniu inwestor poniesie efektywny spread 0,17% (straci 0,265% na kupnie, a zyska 0,097% na sprzedaży).</t>
  </si>
  <si>
    <t>1) Market maker (animator funduszu) kwotuje będąc przesuniętym "w górę" (midspread powyżej iNAV). Oznacza to, że spodziewa się większej ilości inwestorów chcących kupić certyfikaty ETF-a niż tych, którzy chcą je sprzedać.
2) Inwestor kupuje certyfikaty od market makera (o ile nie ma innych inwestorów chcących sprzedać certyfikaty po niższej cenie) o 0,134% drożej od ich prawdziwej wartości. Inwestor może również sprzedać certyfikaty market makerowi po cenie tańszej o 0,026% (czyli mniej korzystniejszej dla inwestora) od ich prawdziwej wartości.
3) O ile taki stan przesunięcia kwotowań market makera utrzyma się przez całą sesję, to w sytuacji kupna i sprzedaży certyfikatów w tym samym dniu inwestor poniesie efektywny spread 0,16% (straci 0,134% na kupnie, a zyska 0,026% na sprzedaży).</t>
  </si>
  <si>
    <t>PRZYKŁADOWA INTERPRETACJA</t>
  </si>
  <si>
    <t>Z korektorem</t>
  </si>
  <si>
    <t>Bez korektora</t>
  </si>
  <si>
    <t>Szacowana stopa dyw.</t>
  </si>
  <si>
    <t>Warto zwrócić uwagę, że wyliczony korektor dla dnia następującego po dniu oderwania się dywidendy jest nadal taki sam dla indeksu cenowego (bo struktura się nie zmieniła), natomiast zmienia się dla indeksu dochodowego (bo niejako przy wyliczaniu poziomu indeksu z danego dnia zapominamy o dywidendzie z dnia poprzedniego)</t>
  </si>
  <si>
    <t>Beta ETF mWIG40TR</t>
  </si>
  <si>
    <t>ID funduszu</t>
  </si>
  <si>
    <t>Poziom zamkn.</t>
  </si>
  <si>
    <t>Obecny poziom</t>
  </si>
  <si>
    <t>iNAV</t>
  </si>
  <si>
    <t>Bid size</t>
  </si>
  <si>
    <t>Bid price</t>
  </si>
  <si>
    <t>Ask price</t>
  </si>
  <si>
    <t>Ask size</t>
  </si>
  <si>
    <t>Bid vs. iNAV</t>
  </si>
  <si>
    <t>Ask vs. iNAV</t>
  </si>
  <si>
    <t>Data:</t>
  </si>
  <si>
    <t>Kalkulacja</t>
  </si>
  <si>
    <t>Legenda:</t>
  </si>
  <si>
    <t>- wbudowana formuła</t>
  </si>
  <si>
    <t>- dane jednorazowe wpisywane "z palca" lub formuła pobierająca dane z aplikacji brokerskiej</t>
  </si>
  <si>
    <t>- dane uaktualniane wpisywane "z palca" lub formuła pobierająca dane z aplikacji brokerskiej</t>
  </si>
  <si>
    <t>BETAW20T</t>
  </si>
  <si>
    <t>BETAM40T</t>
  </si>
  <si>
    <t>CEL:</t>
  </si>
  <si>
    <t>OPIS ARKUSZY:</t>
  </si>
  <si>
    <t>Ind_bez_zm</t>
  </si>
  <si>
    <t>Celem pliku jest zaznajomienie inwestorów z zasadami kalkulacji indeksu i szacowanej wartości certyfikatu funduszu typu ETF.</t>
  </si>
  <si>
    <t>W tym celu posłużono się przykładami dotyczącymi rynku polskiego - pod uwagę wzięto indeksy WIG20 (+ WIG20TR) i mWIG40 (+ mWIG40TR) oraz fundusze Beta ETF WIG20TR i Lyxor ETF WIG20.</t>
  </si>
  <si>
    <t>Kalkulacje przedstawiono dla kilku różnych scenariuszy - 3 arkusze odnoszą się do kalkulacji indeksu, 2 arkusze ukazują kalkulację iNAV funduszy typu ETF a ostatni arkusz może służyć jako podstawa do stworzenia własnego arkusza obliczającego iNAV i pomagająca w podejmowaniu decyzji inwestycyjnych.</t>
  </si>
  <si>
    <t>Przedstawia sposób kalkulacji indeksu mWIG40 w sytuacji gdy nie następowała żadna zmiana w strukturze indeksu.</t>
  </si>
  <si>
    <t>Ind_ze_zm</t>
  </si>
  <si>
    <t>Ind_z_dyw</t>
  </si>
  <si>
    <t>Przedstawia sposób kalkulacji indeksu mWIG40 w sytuacji gdy następowała zmiana w strukturze indeksu (dla uwypuklenia jej wybrano moment, w którym zmianiały się nie tylko pakiety akcji spółek, ale również spółki w indeksie).</t>
  </si>
  <si>
    <t>Przedstawia sposób kalkulacji indeksu WIG20 w sytuacji gdy nie następowała żadna zmiana w strukturze indeksu, natomiast odrywała się dywidenda od jednej ze spółek.</t>
  </si>
  <si>
    <t>iNAV_bez_dyw</t>
  </si>
  <si>
    <t>iNAV_z_dyw</t>
  </si>
  <si>
    <t xml:space="preserve">Przedstawia sposób kalkulacji certyfikatów ETF-a w trakcie sesji, na której nie odrywała się dywidenda od żadnej ze spółek z indeksu. </t>
  </si>
  <si>
    <t xml:space="preserve">Przedstawia sposób kalkulacji certyfikatów ETF-a w trakcie sesji, na której odrywała się dywidenda od jednej ze spółek z indeksu. </t>
  </si>
  <si>
    <t>Kalkulator ETF</t>
  </si>
  <si>
    <t>Przedstawia propozycję arkusza do obliczania iNAV i wspomagającego podejmowanie decyzji inwestycyjnej. Legenda opisuje, jaki rodzaj danych należy umieścić w komórce o określonym kolorze. W części komórek podano przykładowe formuły pobierające dane z komputera z dostępem do Bloomberga.</t>
  </si>
  <si>
    <t>UWAGI:</t>
  </si>
  <si>
    <t>Indeksy</t>
  </si>
  <si>
    <t>I.    Ukazano dwa sposoby kalkulacji indeksu: 1) Najpierw obliczany jest korektor a następnie poziom indeksu; 2) Kalkulacja bez użycia korektora</t>
  </si>
  <si>
    <t>II.   Wartość korektora oblicza się w taki sposób, żeby obecna strutura indeksu, przy założeniu cen z dnia poprzedniego, dawała taką samą wartość jak poziom indeksu z dnia poprzedniego. Tak obliczony korektor obowiązuje przez cały bieżący dzień.</t>
  </si>
  <si>
    <t>I.    Do obliczenia iNAV, potrzebny jest szereg danych dotyczących zarówno indeksu jak i samego funduszu typu ETF.</t>
  </si>
  <si>
    <t>II.   Ukazano dwa sposoby kalkulacji iNAV: 1) Wg poziomu indeksu dochodowego; 2) Wg poziomu indeksu cenowego z korektą o stopę dywidendy w danym dniu.</t>
  </si>
  <si>
    <t>III.  Warto zwrócić uwagę, że wartość korektora zmienia się jedynie wtedy, kiedy następuje zmiana struktury indeksu (dot. indeksu cenowego i dochodowego) lub odrywa się dywidenda (dot. indeksu dochodowego).</t>
  </si>
  <si>
    <t>III.  Warto zwrócić uwagę, że w przypadku funduszu Lyxor ETF WIG20 konieczna jest korekta dotychczasowych wzorów o spodziewany podatek od dywidendy. W sytuacji gdybyśmy sami obliczali indeks o określonej stopie opodatkowania dywidend (tzw. indeks typu net total return) i na nim opierali kwotowania tego ETF-a, nie musielibyśmy stosować tej korekty.</t>
  </si>
  <si>
    <t>IV.  Obliczony iNAV odniesiono do obecnych wtedy kwotowań na rynku ETF-ów. Całość podsumowano przykładową interpretacją.</t>
  </si>
  <si>
    <t>Kalkulator</t>
  </si>
  <si>
    <t>I.    Arkusz został przygotowany w taki sposób, aby uwzględniał również szacowanie WANCI na dzień poprzedni w sytuacji, gdyby kwotowania były wyliczane w pierwszej połowie trwania sesji.</t>
  </si>
  <si>
    <t>II.   W pliku utworzono kilka komórek do obliczania danych związanych z ETF-ami (przy założeniu pobierania danych dotyczących indeksu cenowego - w sytuacji bazowania na indeksie dochodowym należy skorygować formuły usuwając odniesienie do stopy dywidendy z danego dnia). Część danych należy uzupełnić samemu jednorazowo, część natomiast należy uzupełniać na bieżąco (np. przy zastosowaniu odpowiednich narzędzi udostępnionych przez brokera - w tym przykładzie utworzono funkcje pobierające dane za pomocą Bloomberga).</t>
  </si>
  <si>
    <t>III.  Jeżeli pobierzemy wszystkie dane, to jesteśmy w stanie określić, jaki faktycznie ponosimy koszt rynkowy.</t>
  </si>
  <si>
    <t>Generalna uwaga</t>
  </si>
  <si>
    <t>Warto zaznajomić się z notatkami zapisanymi w poszczególnych komórkach.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</si>
</sst>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0%"/>
    <numFmt numFmtId="167" formatCode="0.0000%"/>
  </numFmts>
  <fonts count="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b/>
      <sz val="11"/>
      <color theme="0"/>
      <name val="Calibri"/>
      <family val="2"/>
      <charset val="238"/>
      <scheme val="minor"/>
    </font>
    <font>
      <sz val="9"/>
      <color indexed="81"/>
      <name val="Tahoma"/>
      <family val="2"/>
      <charset val="238"/>
    </font>
    <font>
      <sz val="11"/>
      <color theme="0"/>
      <name val="Calibri"/>
      <family val="2"/>
      <charset val="238"/>
      <scheme val="minor"/>
    </font>
    <font>
      <b/>
      <sz val="9"/>
      <color indexed="81"/>
      <name val="Tahoma"/>
      <family val="2"/>
      <charset val="238"/>
    </font>
  </fonts>
  <fills count="12">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CCFF"/>
        <bgColor indexed="64"/>
      </patternFill>
    </fill>
    <fill>
      <patternFill patternType="solid">
        <fgColor rgb="FF99CCFF"/>
        <bgColor indexed="64"/>
      </patternFill>
    </fill>
    <fill>
      <patternFill patternType="solid">
        <fgColor rgb="FFCCFFFF"/>
        <bgColor indexed="64"/>
      </patternFill>
    </fill>
  </fills>
  <borders count="25">
    <border>
      <left/>
      <right/>
      <top/>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27">
    <xf numFmtId="0" fontId="0" fillId="0" borderId="0" xfId="0"/>
    <xf numFmtId="20" fontId="0" fillId="0" borderId="0" xfId="0" applyNumberFormat="1" applyAlignment="1">
      <alignment horizontal="center"/>
    </xf>
    <xf numFmtId="0" fontId="0" fillId="0" borderId="0" xfId="0" applyAlignment="1">
      <alignment horizontal="center" vertical="center" wrapText="1"/>
    </xf>
    <xf numFmtId="0" fontId="0" fillId="0" borderId="0" xfId="0" applyBorder="1"/>
    <xf numFmtId="164" fontId="0" fillId="0" borderId="3" xfId="0" applyNumberFormat="1" applyBorder="1" applyAlignment="1">
      <alignment horizontal="center"/>
    </xf>
    <xf numFmtId="4" fontId="0" fillId="0" borderId="0" xfId="0" applyNumberFormat="1" applyBorder="1" applyAlignment="1">
      <alignment horizontal="center"/>
    </xf>
    <xf numFmtId="0" fontId="0" fillId="0" borderId="1" xfId="0" applyBorder="1" applyAlignment="1">
      <alignment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7" xfId="0" applyBorder="1" applyAlignment="1">
      <alignment vertical="center" wrapText="1"/>
    </xf>
    <xf numFmtId="0" fontId="0" fillId="3" borderId="8" xfId="0" applyFill="1" applyBorder="1" applyAlignment="1">
      <alignment horizontal="center" vertical="center" wrapText="1"/>
    </xf>
    <xf numFmtId="0" fontId="0" fillId="0" borderId="3" xfId="0" applyBorder="1"/>
    <xf numFmtId="0" fontId="0" fillId="0" borderId="5" xfId="0" applyBorder="1"/>
    <xf numFmtId="0" fontId="0" fillId="0" borderId="6" xfId="0" applyBorder="1"/>
    <xf numFmtId="164" fontId="0" fillId="0" borderId="5" xfId="0" applyNumberFormat="1" applyBorder="1" applyAlignment="1">
      <alignment horizontal="center"/>
    </xf>
    <xf numFmtId="4" fontId="0" fillId="0" borderId="6" xfId="0" applyNumberFormat="1" applyBorder="1" applyAlignment="1">
      <alignment horizontal="center"/>
    </xf>
    <xf numFmtId="0" fontId="0" fillId="0" borderId="8" xfId="0" applyBorder="1" applyAlignment="1">
      <alignment horizontal="center" vertical="center" wrapText="1"/>
    </xf>
    <xf numFmtId="164" fontId="0" fillId="0" borderId="9" xfId="0" applyNumberFormat="1" applyBorder="1" applyAlignment="1">
      <alignment horizontal="center"/>
    </xf>
    <xf numFmtId="164" fontId="0" fillId="0" borderId="10" xfId="0" applyNumberFormat="1" applyBorder="1" applyAlignment="1">
      <alignment horizontal="center"/>
    </xf>
    <xf numFmtId="165" fontId="0" fillId="0" borderId="0" xfId="0" applyNumberFormat="1" applyBorder="1" applyAlignment="1">
      <alignment horizontal="center"/>
    </xf>
    <xf numFmtId="0" fontId="0" fillId="0" borderId="9" xfId="0" applyBorder="1" applyAlignment="1">
      <alignment horizontal="center"/>
    </xf>
    <xf numFmtId="165" fontId="0" fillId="0" borderId="6" xfId="0" applyNumberFormat="1"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Fill="1" applyBorder="1" applyAlignment="1">
      <alignment horizontal="center"/>
    </xf>
    <xf numFmtId="14" fontId="0" fillId="0" borderId="0" xfId="0" applyNumberFormat="1" applyFill="1" applyBorder="1" applyAlignment="1">
      <alignment horizontal="center"/>
    </xf>
    <xf numFmtId="20" fontId="0" fillId="0" borderId="0" xfId="0" applyNumberFormat="1" applyFill="1" applyBorder="1" applyAlignment="1">
      <alignment horizontal="center"/>
    </xf>
    <xf numFmtId="0" fontId="2" fillId="0" borderId="0" xfId="0" applyFont="1" applyBorder="1"/>
    <xf numFmtId="0" fontId="2" fillId="0" borderId="0" xfId="0" applyFont="1" applyFill="1" applyBorder="1"/>
    <xf numFmtId="0" fontId="0" fillId="0" borderId="0" xfId="0"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20" fontId="0" fillId="0" borderId="0" xfId="0" applyNumberFormat="1" applyFill="1" applyBorder="1" applyAlignment="1">
      <alignment horizontal="center" vertical="center"/>
    </xf>
    <xf numFmtId="20" fontId="0" fillId="0" borderId="0" xfId="0" applyNumberFormat="1" applyAlignment="1">
      <alignment horizontal="center" vertical="center"/>
    </xf>
    <xf numFmtId="0" fontId="0" fillId="0" borderId="3" xfId="0" applyBorder="1" applyAlignment="1">
      <alignment vertical="center"/>
    </xf>
    <xf numFmtId="164" fontId="0" fillId="0" borderId="3" xfId="0" applyNumberFormat="1" applyBorder="1" applyAlignment="1">
      <alignment horizontal="center" vertical="center"/>
    </xf>
    <xf numFmtId="4" fontId="0" fillId="0" borderId="0" xfId="0" applyNumberFormat="1" applyBorder="1" applyAlignment="1">
      <alignment horizontal="center" vertical="center"/>
    </xf>
    <xf numFmtId="4" fontId="0" fillId="2" borderId="0" xfId="0" applyNumberForma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164" fontId="0" fillId="0" borderId="5" xfId="0" applyNumberFormat="1" applyBorder="1" applyAlignment="1">
      <alignment horizontal="center" vertical="center"/>
    </xf>
    <xf numFmtId="4" fontId="0" fillId="0" borderId="6" xfId="0" applyNumberFormat="1" applyBorder="1" applyAlignment="1">
      <alignment horizontal="center" vertical="center"/>
    </xf>
    <xf numFmtId="166" fontId="0" fillId="0" borderId="0" xfId="1" applyNumberFormat="1" applyFont="1" applyAlignment="1">
      <alignment horizontal="center" vertical="center"/>
    </xf>
    <xf numFmtId="0" fontId="0" fillId="0" borderId="3" xfId="0" applyBorder="1" applyAlignment="1">
      <alignment horizontal="center" vertical="center"/>
    </xf>
    <xf numFmtId="164" fontId="0" fillId="0" borderId="9" xfId="0" applyNumberFormat="1" applyBorder="1" applyAlignment="1">
      <alignment horizontal="center" vertical="center"/>
    </xf>
    <xf numFmtId="165" fontId="0" fillId="0" borderId="0" xfId="0" applyNumberForma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164" fontId="0" fillId="0" borderId="10" xfId="0" applyNumberFormat="1" applyBorder="1" applyAlignment="1">
      <alignment horizontal="center" vertical="center"/>
    </xf>
    <xf numFmtId="165" fontId="0" fillId="0" borderId="6" xfId="0" applyNumberFormat="1" applyBorder="1" applyAlignment="1">
      <alignment horizontal="center" vertical="center"/>
    </xf>
    <xf numFmtId="0" fontId="0" fillId="0" borderId="10" xfId="0" applyBorder="1" applyAlignment="1">
      <alignment horizontal="center" vertical="center"/>
    </xf>
    <xf numFmtId="166" fontId="0" fillId="2" borderId="9" xfId="1" applyNumberFormat="1" applyFont="1" applyFill="1" applyBorder="1" applyAlignment="1">
      <alignment horizontal="center" vertical="center"/>
    </xf>
    <xf numFmtId="4" fontId="0" fillId="2" borderId="6" xfId="0" applyNumberFormat="1" applyFill="1" applyBorder="1" applyAlignment="1">
      <alignment horizontal="center" vertical="center"/>
    </xf>
    <xf numFmtId="166" fontId="0" fillId="2" borderId="10" xfId="1" applyNumberFormat="1" applyFont="1" applyFill="1" applyBorder="1" applyAlignment="1">
      <alignment horizontal="center" vertical="center"/>
    </xf>
    <xf numFmtId="0" fontId="0" fillId="0" borderId="11" xfId="0" applyBorder="1" applyAlignment="1">
      <alignment horizontal="right" vertical="center"/>
    </xf>
    <xf numFmtId="166" fontId="0" fillId="4" borderId="13" xfId="1" applyNumberFormat="1" applyFont="1" applyFill="1" applyBorder="1" applyAlignment="1">
      <alignment horizontal="center" vertical="center"/>
    </xf>
    <xf numFmtId="0" fontId="0" fillId="0" borderId="0" xfId="0" applyFill="1" applyBorder="1"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vertical="center"/>
    </xf>
    <xf numFmtId="20" fontId="0" fillId="0" borderId="1" xfId="0" applyNumberFormat="1" applyBorder="1" applyAlignment="1">
      <alignment horizontal="center" vertical="center" wrapText="1"/>
    </xf>
    <xf numFmtId="0" fontId="0" fillId="0" borderId="17" xfId="0" applyBorder="1" applyAlignment="1">
      <alignment horizontal="center" vertical="center" wrapText="1"/>
    </xf>
    <xf numFmtId="164" fontId="0" fillId="0" borderId="17" xfId="0" applyNumberFormat="1" applyBorder="1" applyAlignment="1">
      <alignment horizontal="center" vertical="center"/>
    </xf>
    <xf numFmtId="164" fontId="0" fillId="0" borderId="19" xfId="0" applyNumberFormat="1"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vertical="center" wrapText="1"/>
    </xf>
    <xf numFmtId="20" fontId="0" fillId="0" borderId="0" xfId="0" applyNumberFormat="1" applyBorder="1" applyAlignment="1">
      <alignment horizontal="center" vertical="center"/>
    </xf>
    <xf numFmtId="0" fontId="0" fillId="0" borderId="9" xfId="0" applyBorder="1" applyAlignment="1">
      <alignment vertical="center"/>
    </xf>
    <xf numFmtId="20" fontId="0" fillId="0" borderId="6" xfId="0" applyNumberFormat="1" applyBorder="1" applyAlignment="1">
      <alignment horizontal="center" vertical="center"/>
    </xf>
    <xf numFmtId="0" fontId="0" fillId="0" borderId="10" xfId="0" applyBorder="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14" fontId="0" fillId="0" borderId="15" xfId="0" applyNumberFormat="1" applyBorder="1" applyAlignment="1">
      <alignment horizontal="center" vertical="center"/>
    </xf>
    <xf numFmtId="167" fontId="0" fillId="0" borderId="9" xfId="1" applyNumberFormat="1" applyFont="1" applyBorder="1" applyAlignment="1">
      <alignment horizontal="center" vertical="center"/>
    </xf>
    <xf numFmtId="167" fontId="0" fillId="0" borderId="10" xfId="1" applyNumberFormat="1" applyFont="1" applyBorder="1" applyAlignment="1">
      <alignment horizontal="center" vertical="center"/>
    </xf>
    <xf numFmtId="9" fontId="0" fillId="0" borderId="0" xfId="0" applyNumberFormat="1" applyBorder="1" applyAlignment="1">
      <alignment horizontal="center" vertical="center"/>
    </xf>
    <xf numFmtId="9" fontId="0" fillId="0" borderId="6" xfId="0" applyNumberForma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vertical="center"/>
    </xf>
    <xf numFmtId="166" fontId="0" fillId="0" borderId="9" xfId="1" applyNumberFormat="1" applyFont="1" applyBorder="1" applyAlignment="1">
      <alignment horizontal="center" vertical="center"/>
    </xf>
    <xf numFmtId="166" fontId="0" fillId="0" borderId="10" xfId="1" applyNumberFormat="1" applyFont="1" applyBorder="1" applyAlignment="1">
      <alignment horizontal="center" vertical="center"/>
    </xf>
    <xf numFmtId="14" fontId="0" fillId="0" borderId="16" xfId="0" applyNumberForma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166" fontId="0" fillId="0" borderId="13" xfId="1" applyNumberFormat="1" applyFont="1" applyBorder="1" applyAlignment="1">
      <alignment horizontal="center" vertical="center"/>
    </xf>
    <xf numFmtId="0" fontId="0" fillId="0" borderId="0" xfId="0" applyBorder="1" applyAlignment="1">
      <alignment vertical="center"/>
    </xf>
    <xf numFmtId="0" fontId="0" fillId="0" borderId="23" xfId="0" applyBorder="1" applyAlignment="1">
      <alignment horizontal="center" vertical="center" wrapText="1"/>
    </xf>
    <xf numFmtId="3" fontId="0" fillId="0" borderId="3" xfId="0" applyNumberFormat="1" applyBorder="1" applyAlignment="1">
      <alignment horizontal="center" vertical="center"/>
    </xf>
    <xf numFmtId="3" fontId="0" fillId="0" borderId="0" xfId="0" applyNumberFormat="1" applyBorder="1" applyAlignment="1">
      <alignment horizontal="center" vertical="center"/>
    </xf>
    <xf numFmtId="164" fontId="0" fillId="0" borderId="0" xfId="0" applyNumberFormat="1" applyBorder="1" applyAlignment="1">
      <alignment horizontal="center" vertical="center"/>
    </xf>
    <xf numFmtId="166" fontId="0" fillId="0" borderId="0" xfId="1" applyNumberFormat="1" applyFont="1" applyBorder="1" applyAlignment="1">
      <alignment horizontal="center" vertical="center"/>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164" fontId="0" fillId="0" borderId="6" xfId="0" applyNumberFormat="1" applyBorder="1" applyAlignment="1">
      <alignment horizontal="center" vertical="center"/>
    </xf>
    <xf numFmtId="166" fontId="0" fillId="0" borderId="6" xfId="1" applyNumberFormat="1" applyFont="1" applyBorder="1" applyAlignment="1">
      <alignment horizontal="center" vertical="center"/>
    </xf>
    <xf numFmtId="14" fontId="0" fillId="0" borderId="0" xfId="0" applyNumberFormat="1" applyBorder="1" applyAlignment="1">
      <alignment horizontal="center" vertical="center"/>
    </xf>
    <xf numFmtId="0" fontId="0" fillId="0" borderId="23" xfId="0" applyFill="1" applyBorder="1" applyAlignment="1">
      <alignment horizontal="center" vertical="center"/>
    </xf>
    <xf numFmtId="164" fontId="0" fillId="0" borderId="0" xfId="0" applyNumberFormat="1" applyFill="1" applyBorder="1" applyAlignment="1">
      <alignment horizontal="center" vertical="center"/>
    </xf>
    <xf numFmtId="164" fontId="0" fillId="0" borderId="6" xfId="0" applyNumberFormat="1" applyFill="1" applyBorder="1" applyAlignment="1">
      <alignment horizontal="center" vertical="center"/>
    </xf>
    <xf numFmtId="10" fontId="0" fillId="0" borderId="9" xfId="1" applyNumberFormat="1" applyFont="1" applyBorder="1" applyAlignment="1">
      <alignment horizontal="center" vertical="center"/>
    </xf>
    <xf numFmtId="10" fontId="0" fillId="0" borderId="10" xfId="1" applyNumberFormat="1" applyFont="1" applyBorder="1" applyAlignment="1">
      <alignment horizontal="center" vertical="center"/>
    </xf>
    <xf numFmtId="0" fontId="2" fillId="0" borderId="23" xfId="0"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2" fillId="0" borderId="6" xfId="0"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0" fontId="2" fillId="0" borderId="8" xfId="0" applyFont="1" applyBorder="1" applyAlignment="1">
      <alignment horizontal="center" vertical="center"/>
    </xf>
    <xf numFmtId="164" fontId="2" fillId="0" borderId="9" xfId="0" applyNumberFormat="1" applyFont="1" applyBorder="1" applyAlignment="1">
      <alignment horizontal="center" vertical="center"/>
    </xf>
    <xf numFmtId="164" fontId="2" fillId="0" borderId="10" xfId="0" applyNumberFormat="1" applyFont="1" applyBorder="1" applyAlignment="1">
      <alignment horizontal="center" vertical="center"/>
    </xf>
    <xf numFmtId="14" fontId="0" fillId="0" borderId="10" xfId="0" applyNumberFormat="1" applyBorder="1" applyAlignment="1">
      <alignment vertical="center"/>
    </xf>
    <xf numFmtId="0" fontId="4" fillId="0" borderId="18" xfId="0" applyFont="1" applyBorder="1" applyAlignment="1">
      <alignment horizontal="center" vertical="center" wrapText="1"/>
    </xf>
    <xf numFmtId="10" fontId="0" fillId="0" borderId="0" xfId="0" applyNumberFormat="1" applyBorder="1" applyAlignment="1">
      <alignment horizontal="center" vertical="center"/>
    </xf>
    <xf numFmtId="10" fontId="0" fillId="0" borderId="6" xfId="0" applyNumberFormat="1" applyBorder="1" applyAlignment="1">
      <alignment horizontal="center" vertical="center"/>
    </xf>
    <xf numFmtId="0" fontId="2" fillId="0" borderId="0" xfId="0" applyFont="1" applyAlignment="1">
      <alignment vertical="center"/>
    </xf>
    <xf numFmtId="14" fontId="0" fillId="0" borderId="4" xfId="0" applyNumberFormat="1" applyBorder="1" applyAlignment="1">
      <alignment horizontal="center"/>
    </xf>
    <xf numFmtId="14" fontId="0" fillId="0" borderId="14" xfId="0" applyNumberFormat="1" applyBorder="1" applyAlignment="1">
      <alignment horizontal="center"/>
    </xf>
    <xf numFmtId="14" fontId="0" fillId="0" borderId="14" xfId="0" applyNumberFormat="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166" fontId="0" fillId="0" borderId="5" xfId="1" applyNumberFormat="1" applyFont="1" applyBorder="1" applyAlignment="1">
      <alignment horizontal="center" vertical="center"/>
    </xf>
    <xf numFmtId="0" fontId="0" fillId="0" borderId="18" xfId="0" applyBorder="1" applyAlignment="1">
      <alignment horizontal="center" vertical="center" wrapText="1"/>
    </xf>
    <xf numFmtId="4" fontId="0" fillId="0" borderId="3" xfId="0" applyNumberFormat="1" applyBorder="1" applyAlignment="1">
      <alignment horizontal="center" vertical="center"/>
    </xf>
    <xf numFmtId="4" fontId="0" fillId="0" borderId="5" xfId="0" applyNumberFormat="1" applyBorder="1" applyAlignment="1">
      <alignment horizontal="center" vertical="center"/>
    </xf>
    <xf numFmtId="0" fontId="0" fillId="0" borderId="8" xfId="0" applyBorder="1" applyAlignment="1">
      <alignment horizontal="center" vertical="center"/>
    </xf>
    <xf numFmtId="0" fontId="2" fillId="0" borderId="0" xfId="0" applyFont="1" applyBorder="1" applyAlignment="1">
      <alignment horizontal="center" vertical="center"/>
    </xf>
    <xf numFmtId="14" fontId="0" fillId="0" borderId="0" xfId="0" applyNumberFormat="1" applyAlignment="1">
      <alignment horizontal="center"/>
    </xf>
    <xf numFmtId="10" fontId="7" fillId="0" borderId="0" xfId="0" applyNumberFormat="1" applyFont="1" applyAlignment="1">
      <alignment horizontal="center"/>
    </xf>
    <xf numFmtId="166" fontId="0" fillId="0" borderId="0" xfId="0" applyNumberFormat="1"/>
    <xf numFmtId="0" fontId="0" fillId="9" borderId="0" xfId="0" applyFill="1"/>
    <xf numFmtId="0" fontId="0" fillId="9" borderId="0" xfId="0" applyFill="1" applyAlignment="1">
      <alignment horizontal="center"/>
    </xf>
    <xf numFmtId="0" fontId="0" fillId="10" borderId="0" xfId="0" applyFill="1"/>
    <xf numFmtId="0" fontId="0" fillId="11" borderId="0" xfId="0" applyFill="1"/>
    <xf numFmtId="0" fontId="0" fillId="0" borderId="0" xfId="0" quotePrefix="1"/>
    <xf numFmtId="0" fontId="0" fillId="0" borderId="1" xfId="0" applyBorder="1" applyAlignment="1">
      <alignment vertical="center"/>
    </xf>
    <xf numFmtId="0" fontId="0" fillId="0" borderId="7" xfId="0" applyBorder="1" applyAlignment="1">
      <alignment vertical="center"/>
    </xf>
    <xf numFmtId="14" fontId="0" fillId="0" borderId="16" xfId="0" applyNumberFormat="1" applyBorder="1" applyAlignment="1">
      <alignment horizontal="center"/>
    </xf>
    <xf numFmtId="4" fontId="0" fillId="9" borderId="17" xfId="0" applyNumberFormat="1" applyFill="1" applyBorder="1" applyAlignment="1">
      <alignment horizontal="center"/>
    </xf>
    <xf numFmtId="4" fontId="0" fillId="9" borderId="19" xfId="0" applyNumberFormat="1" applyFill="1" applyBorder="1" applyAlignment="1">
      <alignment horizontal="center"/>
    </xf>
    <xf numFmtId="4" fontId="0" fillId="9" borderId="3" xfId="0" applyNumberFormat="1" applyFill="1" applyBorder="1" applyAlignment="1">
      <alignment horizontal="center"/>
    </xf>
    <xf numFmtId="166" fontId="0" fillId="9" borderId="9" xfId="1" applyNumberFormat="1" applyFont="1" applyFill="1" applyBorder="1" applyAlignment="1">
      <alignment horizontal="center"/>
    </xf>
    <xf numFmtId="4" fontId="0" fillId="9" borderId="5" xfId="0" applyNumberFormat="1" applyFill="1" applyBorder="1" applyAlignment="1">
      <alignment horizontal="center"/>
    </xf>
    <xf numFmtId="166" fontId="0" fillId="9" borderId="10" xfId="1" applyNumberFormat="1"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7" xfId="0" applyBorder="1"/>
    <xf numFmtId="0" fontId="0" fillId="0" borderId="8" xfId="0" applyBorder="1" applyAlignment="1">
      <alignment horizontal="center"/>
    </xf>
    <xf numFmtId="166" fontId="0" fillId="0" borderId="0" xfId="1" applyNumberFormat="1" applyFont="1" applyBorder="1" applyAlignment="1">
      <alignment horizontal="center"/>
    </xf>
    <xf numFmtId="166" fontId="0" fillId="0" borderId="6" xfId="1" applyNumberFormat="1" applyFont="1" applyBorder="1" applyAlignment="1">
      <alignment horizontal="center"/>
    </xf>
    <xf numFmtId="164" fontId="0" fillId="9" borderId="17" xfId="0" applyNumberFormat="1" applyFill="1" applyBorder="1" applyAlignment="1">
      <alignment horizontal="center"/>
    </xf>
    <xf numFmtId="164" fontId="0" fillId="9" borderId="19" xfId="0" applyNumberFormat="1" applyFill="1" applyBorder="1" applyAlignment="1">
      <alignment horizontal="center"/>
    </xf>
    <xf numFmtId="164" fontId="0" fillId="10" borderId="3" xfId="0" applyNumberFormat="1" applyFill="1" applyBorder="1" applyAlignment="1">
      <alignment horizontal="center"/>
    </xf>
    <xf numFmtId="164" fontId="0" fillId="10" borderId="5" xfId="0" applyNumberFormat="1" applyFill="1" applyBorder="1" applyAlignment="1">
      <alignment horizontal="center"/>
    </xf>
    <xf numFmtId="164" fontId="0" fillId="9" borderId="10" xfId="0" applyNumberFormat="1"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3" fontId="0" fillId="11" borderId="0" xfId="0" applyNumberFormat="1" applyFill="1" applyBorder="1" applyAlignment="1">
      <alignment horizontal="center"/>
    </xf>
    <xf numFmtId="164" fontId="0" fillId="11" borderId="0" xfId="0" applyNumberFormat="1" applyFill="1" applyBorder="1" applyAlignment="1">
      <alignment horizontal="center"/>
    </xf>
    <xf numFmtId="166" fontId="0" fillId="0" borderId="0" xfId="1" applyNumberFormat="1" applyFont="1" applyFill="1" applyBorder="1" applyAlignment="1">
      <alignment horizontal="center"/>
    </xf>
    <xf numFmtId="3" fontId="0" fillId="11" borderId="9" xfId="0" applyNumberFormat="1" applyFill="1" applyBorder="1" applyAlignment="1">
      <alignment horizontal="center"/>
    </xf>
    <xf numFmtId="3" fontId="0" fillId="11" borderId="6" xfId="0" applyNumberFormat="1" applyFill="1" applyBorder="1" applyAlignment="1">
      <alignment horizontal="center"/>
    </xf>
    <xf numFmtId="164" fontId="0" fillId="11" borderId="6" xfId="0" applyNumberFormat="1" applyFill="1" applyBorder="1" applyAlignment="1">
      <alignment horizontal="center"/>
    </xf>
    <xf numFmtId="166" fontId="0" fillId="0" borderId="6" xfId="1" applyNumberFormat="1" applyFont="1" applyFill="1" applyBorder="1" applyAlignment="1">
      <alignment horizontal="center"/>
    </xf>
    <xf numFmtId="3" fontId="0" fillId="11" borderId="10" xfId="0" applyNumberFormat="1" applyFill="1" applyBorder="1" applyAlignment="1">
      <alignment horizontal="center"/>
    </xf>
    <xf numFmtId="0" fontId="0" fillId="0" borderId="18" xfId="0" applyBorder="1" applyAlignment="1">
      <alignment horizontal="center"/>
    </xf>
    <xf numFmtId="164" fontId="0" fillId="10" borderId="17" xfId="0" applyNumberFormat="1" applyFill="1" applyBorder="1" applyAlignment="1">
      <alignment horizontal="center"/>
    </xf>
    <xf numFmtId="164" fontId="0" fillId="10" borderId="19" xfId="0" applyNumberFormat="1" applyFill="1" applyBorder="1" applyAlignment="1">
      <alignment horizontal="center"/>
    </xf>
    <xf numFmtId="4" fontId="0" fillId="11" borderId="3" xfId="1" applyNumberFormat="1" applyFont="1" applyFill="1" applyBorder="1" applyAlignment="1">
      <alignment horizontal="center"/>
    </xf>
    <xf numFmtId="4" fontId="0" fillId="11" borderId="5" xfId="1" applyNumberFormat="1" applyFont="1" applyFill="1" applyBorder="1" applyAlignment="1">
      <alignment horizontal="center"/>
    </xf>
    <xf numFmtId="166" fontId="0" fillId="9" borderId="0" xfId="1" applyNumberFormat="1" applyFont="1" applyFill="1" applyBorder="1" applyAlignment="1">
      <alignment horizontal="center"/>
    </xf>
    <xf numFmtId="166" fontId="0" fillId="9" borderId="6" xfId="1" applyNumberFormat="1" applyFont="1" applyFill="1" applyBorder="1" applyAlignment="1">
      <alignment horizontal="center"/>
    </xf>
    <xf numFmtId="166" fontId="0" fillId="10" borderId="9" xfId="1" applyNumberFormat="1" applyFont="1" applyFill="1" applyBorder="1" applyAlignment="1">
      <alignment horizontal="center"/>
    </xf>
    <xf numFmtId="166" fontId="0" fillId="10" borderId="10" xfId="1" applyNumberFormat="1" applyFont="1" applyFill="1" applyBorder="1" applyAlignment="1">
      <alignment horizontal="center"/>
    </xf>
    <xf numFmtId="164" fontId="0" fillId="9" borderId="24" xfId="0" applyNumberFormat="1" applyFill="1" applyBorder="1" applyAlignment="1">
      <alignment horizontal="center"/>
    </xf>
    <xf numFmtId="0" fontId="2" fillId="0" borderId="0" xfId="0" applyFont="1"/>
    <xf numFmtId="0" fontId="0" fillId="0" borderId="0" xfId="0" applyAlignment="1">
      <alignment wrapText="1"/>
    </xf>
    <xf numFmtId="0" fontId="0" fillId="0" borderId="0" xfId="0" applyAlignment="1"/>
    <xf numFmtId="0" fontId="0" fillId="0" borderId="0" xfId="0" applyAlignment="1">
      <alignment vertical="top"/>
    </xf>
    <xf numFmtId="0" fontId="0" fillId="0" borderId="0" xfId="0" applyAlignment="1">
      <alignment wrapText="1"/>
    </xf>
    <xf numFmtId="0" fontId="0" fillId="0" borderId="0" xfId="0" applyAlignment="1"/>
    <xf numFmtId="14" fontId="0" fillId="0" borderId="4" xfId="0" applyNumberFormat="1" applyBorder="1" applyAlignment="1">
      <alignment horizontal="center"/>
    </xf>
    <xf numFmtId="14" fontId="0" fillId="0" borderId="14" xfId="0" applyNumberFormat="1" applyBorder="1" applyAlignment="1">
      <alignment horizontal="center"/>
    </xf>
    <xf numFmtId="14" fontId="0" fillId="0" borderId="2" xfId="0" applyNumberFormat="1" applyBorder="1" applyAlignment="1">
      <alignment horizontal="center"/>
    </xf>
    <xf numFmtId="14" fontId="0" fillId="0" borderId="11" xfId="0" applyNumberFormat="1" applyBorder="1" applyAlignment="1">
      <alignment horizontal="center"/>
    </xf>
    <xf numFmtId="14" fontId="0" fillId="0" borderId="12" xfId="0" applyNumberFormat="1" applyBorder="1" applyAlignment="1">
      <alignment horizontal="center"/>
    </xf>
    <xf numFmtId="14" fontId="0" fillId="0" borderId="4" xfId="0" applyNumberFormat="1" applyBorder="1" applyAlignment="1">
      <alignment horizontal="center" vertical="center"/>
    </xf>
    <xf numFmtId="14" fontId="0" fillId="0" borderId="2" xfId="0" applyNumberFormat="1" applyBorder="1" applyAlignment="1">
      <alignment horizontal="center" vertical="center"/>
    </xf>
    <xf numFmtId="14" fontId="0" fillId="0" borderId="14" xfId="0" applyNumberFormat="1" applyBorder="1" applyAlignment="1">
      <alignment horizontal="center" vertical="center"/>
    </xf>
    <xf numFmtId="0" fontId="0" fillId="8" borderId="0" xfId="0" applyFill="1" applyAlignment="1">
      <alignment horizontal="center" vertical="center" wrapText="1"/>
    </xf>
    <xf numFmtId="14" fontId="0" fillId="0" borderId="11" xfId="0" applyNumberFormat="1" applyBorder="1" applyAlignment="1">
      <alignment horizontal="center" vertical="center"/>
    </xf>
    <xf numFmtId="14" fontId="0" fillId="0" borderId="12" xfId="0" applyNumberForma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0" fillId="0" borderId="0" xfId="0" applyAlignment="1">
      <alignment vertical="center" wrapText="1"/>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5" borderId="6" xfId="0" applyFont="1" applyFill="1" applyBorder="1" applyAlignment="1">
      <alignment horizontal="center" vertical="center"/>
    </xf>
    <xf numFmtId="0" fontId="5" fillId="5" borderId="10" xfId="0" applyFont="1" applyFill="1" applyBorder="1" applyAlignment="1">
      <alignment horizontal="center" vertical="center"/>
    </xf>
    <xf numFmtId="0" fontId="0" fillId="6" borderId="4" xfId="0" applyFill="1" applyBorder="1" applyAlignment="1">
      <alignment horizontal="center" vertical="center"/>
    </xf>
    <xf numFmtId="0" fontId="0" fillId="6" borderId="2" xfId="0" applyFill="1" applyBorder="1" applyAlignment="1">
      <alignment horizontal="center" vertical="center"/>
    </xf>
    <xf numFmtId="0" fontId="0" fillId="6" borderId="14" xfId="0" applyFill="1" applyBorder="1" applyAlignment="1">
      <alignment horizontal="center" vertical="center"/>
    </xf>
    <xf numFmtId="0" fontId="0" fillId="7" borderId="2" xfId="0" applyFill="1" applyBorder="1" applyAlignment="1">
      <alignment horizontal="center" vertical="center"/>
    </xf>
    <xf numFmtId="0" fontId="0" fillId="7" borderId="14" xfId="0" applyFill="1" applyBorder="1" applyAlignment="1">
      <alignment horizontal="center" vertical="center"/>
    </xf>
    <xf numFmtId="0" fontId="0" fillId="0" borderId="7" xfId="0" applyBorder="1" applyAlignment="1">
      <alignment vertical="center" wrapText="1"/>
    </xf>
    <xf numFmtId="0" fontId="0" fillId="0" borderId="1" xfId="0" applyBorder="1" applyAlignment="1">
      <alignment vertical="center" wrapText="1"/>
    </xf>
    <xf numFmtId="14" fontId="0" fillId="0" borderId="13" xfId="0" applyNumberFormat="1" applyBorder="1" applyAlignment="1">
      <alignment horizontal="center" vertical="center"/>
    </xf>
    <xf numFmtId="0" fontId="0" fillId="0" borderId="4" xfId="0" applyBorder="1" applyAlignment="1">
      <alignment horizontal="center" vertical="center" wrapText="1"/>
    </xf>
    <xf numFmtId="0" fontId="0" fillId="0" borderId="14" xfId="0" applyBorder="1" applyAlignment="1">
      <alignment horizontal="center" vertical="center" wrapText="1"/>
    </xf>
    <xf numFmtId="14" fontId="0" fillId="0" borderId="13" xfId="0" applyNumberFormat="1" applyBorder="1" applyAlignment="1">
      <alignment horizontal="center"/>
    </xf>
    <xf numFmtId="0" fontId="0" fillId="0" borderId="0" xfId="0" applyFont="1" applyAlignment="1">
      <alignment vertical="center"/>
    </xf>
    <xf numFmtId="0" fontId="0" fillId="0" borderId="0" xfId="0" applyAlignment="1">
      <alignment horizontal="left"/>
    </xf>
  </cellXfs>
  <cellStyles count="2">
    <cellStyle name="Normalny" xfId="0" builtinId="0"/>
    <cellStyle name="Procentowy" xfId="1" builtinId="5"/>
  </cellStyles>
  <dxfs count="25">
    <dxf>
      <fill>
        <patternFill patternType="none">
          <bgColor auto="1"/>
        </patternFill>
      </fill>
    </dxf>
    <dxf>
      <fill>
        <patternFill>
          <bgColor rgb="FFCCFFCC"/>
        </patternFill>
      </fill>
    </dxf>
    <dxf>
      <fill>
        <patternFill>
          <bgColor rgb="FFFFCCCC"/>
        </patternFill>
      </fill>
    </dxf>
    <dxf>
      <fill>
        <patternFill>
          <bgColor rgb="FFCCFFCC"/>
        </patternFill>
      </fill>
    </dxf>
    <dxf>
      <fill>
        <patternFill>
          <bgColor rgb="FFFFCCCC"/>
        </patternFill>
      </fill>
    </dxf>
    <dxf>
      <font>
        <color auto="1"/>
      </font>
      <fill>
        <patternFill>
          <bgColor rgb="FFCCFFCC"/>
        </patternFill>
      </fill>
    </dxf>
    <dxf>
      <font>
        <color auto="1"/>
      </font>
      <fill>
        <patternFill>
          <bgColor rgb="FFFFCCCC"/>
        </patternFill>
      </fill>
    </dxf>
    <dxf>
      <font>
        <color auto="1"/>
      </font>
      <fill>
        <patternFill>
          <bgColor rgb="FFCCFFCC"/>
        </patternFill>
      </fill>
    </dxf>
    <dxf>
      <font>
        <color auto="1"/>
      </font>
      <fill>
        <patternFill>
          <bgColor rgb="FFFFCCCC"/>
        </patternFill>
      </fill>
    </dxf>
    <dxf>
      <font>
        <color auto="1"/>
      </font>
      <fill>
        <patternFill>
          <bgColor rgb="FFCCFFCC"/>
        </patternFill>
      </fill>
    </dxf>
    <dxf>
      <font>
        <color auto="1"/>
      </font>
      <fill>
        <patternFill>
          <bgColor rgb="FFFFCCCC"/>
        </patternFill>
      </fill>
    </dxf>
    <dxf>
      <font>
        <color auto="1"/>
      </font>
      <fill>
        <patternFill>
          <bgColor rgb="FFCCFFCC"/>
        </patternFill>
      </fill>
    </dxf>
    <dxf>
      <font>
        <color auto="1"/>
      </font>
      <fill>
        <patternFill>
          <bgColor rgb="FFFFCC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9CCFF"/>
      <color rgb="FFFFCCFF"/>
      <color rgb="FFCCFFFF"/>
      <color rgb="FFCC99FF"/>
      <color rgb="FFCCECFF"/>
      <color rgb="FFFFCC99"/>
      <color rgb="FFFFFFCC"/>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BC696-7DC6-4513-85F0-9B0D0DD2B651}">
  <dimension ref="B2:S26"/>
  <sheetViews>
    <sheetView showGridLines="0" tabSelected="1" workbookViewId="0"/>
  </sheetViews>
  <sheetFormatPr defaultRowHeight="14.4" x14ac:dyDescent="0.3"/>
  <cols>
    <col min="1" max="1" width="6.6640625" customWidth="1"/>
    <col min="2" max="2" width="16.6640625" customWidth="1"/>
  </cols>
  <sheetData>
    <row r="2" spans="2:19" x14ac:dyDescent="0.3">
      <c r="B2" s="186" t="s">
        <v>275</v>
      </c>
    </row>
    <row r="3" spans="2:19" x14ac:dyDescent="0.3">
      <c r="B3" s="191" t="s">
        <v>278</v>
      </c>
      <c r="C3" s="191"/>
      <c r="D3" s="191"/>
      <c r="E3" s="191"/>
      <c r="F3" s="191"/>
      <c r="G3" s="191"/>
      <c r="H3" s="191"/>
      <c r="I3" s="191"/>
      <c r="J3" s="191"/>
      <c r="K3" s="191"/>
      <c r="L3" s="191"/>
      <c r="M3" s="191"/>
      <c r="N3" s="191"/>
      <c r="O3" s="191"/>
      <c r="P3" s="191"/>
      <c r="Q3" s="191"/>
      <c r="R3" s="191"/>
      <c r="S3" s="188"/>
    </row>
    <row r="4" spans="2:19" x14ac:dyDescent="0.3">
      <c r="B4" s="191" t="s">
        <v>279</v>
      </c>
      <c r="C4" s="191"/>
      <c r="D4" s="191"/>
      <c r="E4" s="191"/>
      <c r="F4" s="191"/>
      <c r="G4" s="191"/>
      <c r="H4" s="191"/>
      <c r="I4" s="191"/>
      <c r="J4" s="191"/>
      <c r="K4" s="191"/>
      <c r="L4" s="191"/>
      <c r="M4" s="191"/>
      <c r="N4" s="191"/>
      <c r="O4" s="191"/>
      <c r="P4" s="191"/>
      <c r="Q4" s="191"/>
      <c r="R4" s="191"/>
      <c r="S4" s="188"/>
    </row>
    <row r="5" spans="2:19" ht="28.2" customHeight="1" x14ac:dyDescent="0.3">
      <c r="B5" s="190" t="s">
        <v>280</v>
      </c>
      <c r="C5" s="190"/>
      <c r="D5" s="190"/>
      <c r="E5" s="190"/>
      <c r="F5" s="190"/>
      <c r="G5" s="190"/>
      <c r="H5" s="190"/>
      <c r="I5" s="190"/>
      <c r="J5" s="190"/>
      <c r="K5" s="190"/>
      <c r="L5" s="190"/>
      <c r="M5" s="190"/>
      <c r="N5" s="190"/>
      <c r="O5" s="190"/>
      <c r="P5" s="190"/>
      <c r="Q5" s="190"/>
      <c r="R5" s="190"/>
      <c r="S5" s="187"/>
    </row>
    <row r="7" spans="2:19" x14ac:dyDescent="0.3">
      <c r="B7" s="186" t="s">
        <v>276</v>
      </c>
    </row>
    <row r="8" spans="2:19" x14ac:dyDescent="0.3">
      <c r="B8" s="31" t="s">
        <v>277</v>
      </c>
      <c r="C8" s="190" t="s">
        <v>281</v>
      </c>
      <c r="D8" s="190"/>
      <c r="E8" s="190"/>
      <c r="F8" s="190"/>
      <c r="G8" s="190"/>
      <c r="H8" s="190"/>
      <c r="I8" s="190"/>
      <c r="J8" s="190"/>
      <c r="K8" s="190"/>
      <c r="L8" s="190"/>
      <c r="M8" s="190"/>
      <c r="N8" s="190"/>
      <c r="O8" s="190"/>
      <c r="P8" s="190"/>
      <c r="Q8" s="190"/>
      <c r="R8" s="190"/>
    </row>
    <row r="9" spans="2:19" ht="28.8" customHeight="1" x14ac:dyDescent="0.3">
      <c r="B9" s="31" t="s">
        <v>282</v>
      </c>
      <c r="C9" s="190" t="s">
        <v>284</v>
      </c>
      <c r="D9" s="190"/>
      <c r="E9" s="190"/>
      <c r="F9" s="190"/>
      <c r="G9" s="190"/>
      <c r="H9" s="190"/>
      <c r="I9" s="190"/>
      <c r="J9" s="190"/>
      <c r="K9" s="190"/>
      <c r="L9" s="190"/>
      <c r="M9" s="190"/>
      <c r="N9" s="190"/>
      <c r="O9" s="190"/>
      <c r="P9" s="190"/>
      <c r="Q9" s="190"/>
      <c r="R9" s="190"/>
    </row>
    <row r="10" spans="2:19" x14ac:dyDescent="0.3">
      <c r="B10" s="31" t="s">
        <v>283</v>
      </c>
      <c r="C10" s="190" t="s">
        <v>285</v>
      </c>
      <c r="D10" s="190"/>
      <c r="E10" s="190"/>
      <c r="F10" s="190"/>
      <c r="G10" s="190"/>
      <c r="H10" s="190"/>
      <c r="I10" s="190"/>
      <c r="J10" s="190"/>
      <c r="K10" s="190"/>
      <c r="L10" s="190"/>
      <c r="M10" s="190"/>
      <c r="N10" s="190"/>
      <c r="O10" s="190"/>
      <c r="P10" s="190"/>
      <c r="Q10" s="190"/>
      <c r="R10" s="190"/>
    </row>
    <row r="11" spans="2:19" x14ac:dyDescent="0.3">
      <c r="B11" s="31" t="s">
        <v>286</v>
      </c>
      <c r="C11" s="190" t="s">
        <v>288</v>
      </c>
      <c r="D11" s="190"/>
      <c r="E11" s="190"/>
      <c r="F11" s="190"/>
      <c r="G11" s="190"/>
      <c r="H11" s="190"/>
      <c r="I11" s="190"/>
      <c r="J11" s="190"/>
      <c r="K11" s="190"/>
      <c r="L11" s="190"/>
      <c r="M11" s="190"/>
      <c r="N11" s="190"/>
      <c r="O11" s="190"/>
      <c r="P11" s="190"/>
      <c r="Q11" s="190"/>
      <c r="R11" s="190"/>
    </row>
    <row r="12" spans="2:19" x14ac:dyDescent="0.3">
      <c r="B12" s="31" t="s">
        <v>287</v>
      </c>
      <c r="C12" s="190" t="s">
        <v>289</v>
      </c>
      <c r="D12" s="190"/>
      <c r="E12" s="190"/>
      <c r="F12" s="190"/>
      <c r="G12" s="190"/>
      <c r="H12" s="190"/>
      <c r="I12" s="190"/>
      <c r="J12" s="190"/>
      <c r="K12" s="190"/>
      <c r="L12" s="190"/>
      <c r="M12" s="190"/>
      <c r="N12" s="190"/>
      <c r="O12" s="190"/>
      <c r="P12" s="190"/>
      <c r="Q12" s="190"/>
      <c r="R12" s="190"/>
    </row>
    <row r="13" spans="2:19" ht="28.8" customHeight="1" x14ac:dyDescent="0.3">
      <c r="B13" s="31" t="s">
        <v>290</v>
      </c>
      <c r="C13" s="190" t="s">
        <v>291</v>
      </c>
      <c r="D13" s="190"/>
      <c r="E13" s="190"/>
      <c r="F13" s="190"/>
      <c r="G13" s="190"/>
      <c r="H13" s="190"/>
      <c r="I13" s="190"/>
      <c r="J13" s="190"/>
      <c r="K13" s="190"/>
      <c r="L13" s="190"/>
      <c r="M13" s="190"/>
      <c r="N13" s="190"/>
      <c r="O13" s="190"/>
      <c r="P13" s="190"/>
      <c r="Q13" s="190"/>
      <c r="R13" s="190"/>
    </row>
    <row r="15" spans="2:19" x14ac:dyDescent="0.3">
      <c r="B15" s="124" t="s">
        <v>292</v>
      </c>
    </row>
    <row r="16" spans="2:19" x14ac:dyDescent="0.3">
      <c r="B16" s="225" t="s">
        <v>305</v>
      </c>
      <c r="C16" s="226" t="s">
        <v>306</v>
      </c>
      <c r="D16" s="226"/>
      <c r="E16" s="226"/>
      <c r="F16" s="226"/>
      <c r="G16" s="226"/>
      <c r="H16" s="226"/>
      <c r="I16" s="226"/>
      <c r="J16" s="226"/>
      <c r="K16" s="226"/>
      <c r="L16" s="226"/>
      <c r="M16" s="226"/>
      <c r="N16" s="226"/>
      <c r="O16" s="226"/>
      <c r="P16" s="226"/>
      <c r="Q16" s="226"/>
      <c r="R16" s="226"/>
    </row>
    <row r="17" spans="2:18" x14ac:dyDescent="0.3">
      <c r="B17" s="31" t="s">
        <v>293</v>
      </c>
      <c r="C17" s="190" t="s">
        <v>294</v>
      </c>
      <c r="D17" s="190"/>
      <c r="E17" s="190"/>
      <c r="F17" s="190"/>
      <c r="G17" s="190"/>
      <c r="H17" s="190"/>
      <c r="I17" s="190"/>
      <c r="J17" s="190"/>
      <c r="K17" s="190"/>
      <c r="L17" s="190"/>
      <c r="M17" s="190"/>
      <c r="N17" s="190"/>
      <c r="O17" s="190"/>
      <c r="P17" s="190"/>
      <c r="Q17" s="190"/>
      <c r="R17" s="190"/>
    </row>
    <row r="18" spans="2:18" ht="28.8" customHeight="1" x14ac:dyDescent="0.3">
      <c r="C18" s="190" t="s">
        <v>295</v>
      </c>
      <c r="D18" s="190"/>
      <c r="E18" s="190"/>
      <c r="F18" s="190"/>
      <c r="G18" s="190"/>
      <c r="H18" s="190"/>
      <c r="I18" s="190"/>
      <c r="J18" s="190"/>
      <c r="K18" s="190"/>
      <c r="L18" s="190"/>
      <c r="M18" s="190"/>
      <c r="N18" s="190"/>
      <c r="O18" s="190"/>
      <c r="P18" s="190"/>
      <c r="Q18" s="190"/>
      <c r="R18" s="190"/>
    </row>
    <row r="19" spans="2:18" ht="28.8" customHeight="1" x14ac:dyDescent="0.3">
      <c r="C19" s="190" t="s">
        <v>298</v>
      </c>
      <c r="D19" s="190"/>
      <c r="E19" s="190"/>
      <c r="F19" s="190"/>
      <c r="G19" s="190"/>
      <c r="H19" s="190"/>
      <c r="I19" s="190"/>
      <c r="J19" s="190"/>
      <c r="K19" s="190"/>
      <c r="L19" s="190"/>
      <c r="M19" s="190"/>
      <c r="N19" s="190"/>
      <c r="O19" s="190"/>
      <c r="P19" s="190"/>
      <c r="Q19" s="190"/>
      <c r="R19" s="190"/>
    </row>
    <row r="20" spans="2:18" x14ac:dyDescent="0.3">
      <c r="B20" t="s">
        <v>260</v>
      </c>
      <c r="C20" s="190" t="s">
        <v>296</v>
      </c>
      <c r="D20" s="190"/>
      <c r="E20" s="190"/>
      <c r="F20" s="190"/>
      <c r="G20" s="190"/>
      <c r="H20" s="190"/>
      <c r="I20" s="190"/>
      <c r="J20" s="190"/>
      <c r="K20" s="190"/>
      <c r="L20" s="190"/>
      <c r="M20" s="190"/>
      <c r="N20" s="190"/>
      <c r="O20" s="190"/>
      <c r="P20" s="190"/>
      <c r="Q20" s="190"/>
      <c r="R20" s="190"/>
    </row>
    <row r="21" spans="2:18" x14ac:dyDescent="0.3">
      <c r="C21" s="190" t="s">
        <v>297</v>
      </c>
      <c r="D21" s="190"/>
      <c r="E21" s="190"/>
      <c r="F21" s="190"/>
      <c r="G21" s="190"/>
      <c r="H21" s="190"/>
      <c r="I21" s="190"/>
      <c r="J21" s="190"/>
      <c r="K21" s="190"/>
      <c r="L21" s="190"/>
      <c r="M21" s="190"/>
      <c r="N21" s="190"/>
      <c r="O21" s="190"/>
      <c r="P21" s="190"/>
      <c r="Q21" s="190"/>
      <c r="R21" s="190"/>
    </row>
    <row r="22" spans="2:18" ht="41.4" customHeight="1" x14ac:dyDescent="0.3">
      <c r="C22" s="190" t="s">
        <v>299</v>
      </c>
      <c r="D22" s="190"/>
      <c r="E22" s="190"/>
      <c r="F22" s="190"/>
      <c r="G22" s="190"/>
      <c r="H22" s="190"/>
      <c r="I22" s="190"/>
      <c r="J22" s="190"/>
      <c r="K22" s="190"/>
      <c r="L22" s="190"/>
      <c r="M22" s="190"/>
      <c r="N22" s="190"/>
      <c r="O22" s="190"/>
      <c r="P22" s="190"/>
      <c r="Q22" s="190"/>
      <c r="R22" s="190"/>
    </row>
    <row r="23" spans="2:18" x14ac:dyDescent="0.3">
      <c r="C23" s="190" t="s">
        <v>300</v>
      </c>
      <c r="D23" s="190"/>
      <c r="E23" s="190"/>
      <c r="F23" s="190"/>
      <c r="G23" s="190"/>
      <c r="H23" s="190"/>
      <c r="I23" s="190"/>
      <c r="J23" s="190"/>
      <c r="K23" s="190"/>
      <c r="L23" s="190"/>
      <c r="M23" s="190"/>
      <c r="N23" s="190"/>
      <c r="O23" s="190"/>
      <c r="P23" s="190"/>
      <c r="Q23" s="190"/>
      <c r="R23" s="190"/>
    </row>
    <row r="24" spans="2:18" ht="28.8" customHeight="1" x14ac:dyDescent="0.3">
      <c r="B24" s="189" t="s">
        <v>301</v>
      </c>
      <c r="C24" s="190" t="s">
        <v>302</v>
      </c>
      <c r="D24" s="190"/>
      <c r="E24" s="190"/>
      <c r="F24" s="190"/>
      <c r="G24" s="190"/>
      <c r="H24" s="190"/>
      <c r="I24" s="190"/>
      <c r="J24" s="190"/>
      <c r="K24" s="190"/>
      <c r="L24" s="190"/>
      <c r="M24" s="190"/>
      <c r="N24" s="190"/>
      <c r="O24" s="190"/>
      <c r="P24" s="190"/>
      <c r="Q24" s="190"/>
      <c r="R24" s="190"/>
    </row>
    <row r="25" spans="2:18" ht="57.6" customHeight="1" x14ac:dyDescent="0.3">
      <c r="C25" s="190" t="s">
        <v>303</v>
      </c>
      <c r="D25" s="190"/>
      <c r="E25" s="190"/>
      <c r="F25" s="190"/>
      <c r="G25" s="190"/>
      <c r="H25" s="190"/>
      <c r="I25" s="190"/>
      <c r="J25" s="190"/>
      <c r="K25" s="190"/>
      <c r="L25" s="190"/>
      <c r="M25" s="190"/>
      <c r="N25" s="190"/>
      <c r="O25" s="190"/>
      <c r="P25" s="190"/>
      <c r="Q25" s="190"/>
      <c r="R25" s="190"/>
    </row>
    <row r="26" spans="2:18" x14ac:dyDescent="0.3">
      <c r="C26" s="190" t="s">
        <v>304</v>
      </c>
      <c r="D26" s="190"/>
      <c r="E26" s="190"/>
      <c r="F26" s="190"/>
      <c r="G26" s="190"/>
      <c r="H26" s="190"/>
      <c r="I26" s="190"/>
      <c r="J26" s="190"/>
      <c r="K26" s="190"/>
      <c r="L26" s="190"/>
      <c r="M26" s="190"/>
      <c r="N26" s="190"/>
      <c r="O26" s="190"/>
      <c r="P26" s="190"/>
      <c r="Q26" s="190"/>
      <c r="R26" s="190"/>
    </row>
  </sheetData>
  <mergeCells count="20">
    <mergeCell ref="C13:R13"/>
    <mergeCell ref="B3:R3"/>
    <mergeCell ref="B4:R4"/>
    <mergeCell ref="B5:R5"/>
    <mergeCell ref="C16:R16"/>
    <mergeCell ref="C8:R8"/>
    <mergeCell ref="C9:R9"/>
    <mergeCell ref="C10:R10"/>
    <mergeCell ref="C11:R11"/>
    <mergeCell ref="C12:R12"/>
    <mergeCell ref="C23:R23"/>
    <mergeCell ref="C24:R24"/>
    <mergeCell ref="C25:R25"/>
    <mergeCell ref="C26:R26"/>
    <mergeCell ref="C17:R17"/>
    <mergeCell ref="C19:R19"/>
    <mergeCell ref="C18:R18"/>
    <mergeCell ref="C20:R20"/>
    <mergeCell ref="C21:R21"/>
    <mergeCell ref="C22:R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C7C1-10E8-4967-BFAC-2616A463CE5C}">
  <dimension ref="B2:L54"/>
  <sheetViews>
    <sheetView showGridLines="0" workbookViewId="0"/>
  </sheetViews>
  <sheetFormatPr defaultRowHeight="14.4" x14ac:dyDescent="0.3"/>
  <cols>
    <col min="1" max="2" width="3.33203125" customWidth="1"/>
    <col min="3" max="3" width="12.88671875" bestFit="1" customWidth="1"/>
    <col min="4" max="4" width="14.6640625" bestFit="1" customWidth="1"/>
    <col min="5" max="5" width="14.5546875" customWidth="1"/>
    <col min="6" max="9" width="11.33203125" customWidth="1"/>
    <col min="10" max="10" width="12.33203125" customWidth="1"/>
    <col min="11" max="11" width="15.5546875" customWidth="1"/>
    <col min="12" max="12" width="11.109375" customWidth="1"/>
  </cols>
  <sheetData>
    <row r="2" spans="2:12" x14ac:dyDescent="0.3">
      <c r="C2" s="29" t="s">
        <v>1</v>
      </c>
      <c r="D2" s="30" t="s">
        <v>4</v>
      </c>
    </row>
    <row r="3" spans="2:12" x14ac:dyDescent="0.3">
      <c r="C3" s="3" t="s">
        <v>93</v>
      </c>
      <c r="D3" s="26" t="s">
        <v>6</v>
      </c>
    </row>
    <row r="4" spans="2:12" x14ac:dyDescent="0.3">
      <c r="C4" s="3" t="s">
        <v>2</v>
      </c>
      <c r="D4" s="27">
        <v>43728</v>
      </c>
    </row>
    <row r="5" spans="2:12" x14ac:dyDescent="0.3">
      <c r="C5" s="3" t="s">
        <v>3</v>
      </c>
      <c r="D5" s="28">
        <v>0.45833333333333331</v>
      </c>
    </row>
    <row r="6" spans="2:12" x14ac:dyDescent="0.3">
      <c r="D6" s="1"/>
    </row>
    <row r="7" spans="2:12" x14ac:dyDescent="0.3">
      <c r="F7" s="195">
        <f>WORKDAY(H7,-1)</f>
        <v>43727</v>
      </c>
      <c r="G7" s="196"/>
      <c r="H7" s="197">
        <f>$D$4</f>
        <v>43728</v>
      </c>
      <c r="I7" s="198"/>
      <c r="J7" s="198"/>
      <c r="K7" s="198"/>
      <c r="L7" s="199"/>
    </row>
    <row r="8" spans="2:12" ht="29.4" thickBot="1" x14ac:dyDescent="0.35">
      <c r="C8" s="10" t="s">
        <v>0</v>
      </c>
      <c r="D8" s="6" t="s">
        <v>94</v>
      </c>
      <c r="E8" s="6" t="s">
        <v>8</v>
      </c>
      <c r="F8" s="7" t="s">
        <v>98</v>
      </c>
      <c r="G8" s="8" t="s">
        <v>10</v>
      </c>
      <c r="H8" s="7" t="s">
        <v>98</v>
      </c>
      <c r="I8" s="8" t="str">
        <f>"Poziom o " &amp; TEXT($D$5,"gg:mm")</f>
        <v>Poziom o 11:00</v>
      </c>
      <c r="J8" s="8" t="s">
        <v>186</v>
      </c>
      <c r="K8" s="9" t="s">
        <v>99</v>
      </c>
      <c r="L8" s="11" t="s">
        <v>185</v>
      </c>
    </row>
    <row r="9" spans="2:12" x14ac:dyDescent="0.3">
      <c r="C9" s="12" t="s">
        <v>6</v>
      </c>
      <c r="D9" s="3" t="s">
        <v>95</v>
      </c>
      <c r="E9" s="3" t="s">
        <v>96</v>
      </c>
      <c r="F9" s="4">
        <f>SUMPRODUCT(F$15:F$54,G$15:G$54)/G9</f>
        <v>13.761377540351685</v>
      </c>
      <c r="G9" s="5">
        <v>3823.88</v>
      </c>
      <c r="H9" s="40">
        <f>SUMPRODUCT(H$15:H$54,G$15:G$54)/G9</f>
        <v>13.761377540351685</v>
      </c>
      <c r="I9" s="41">
        <f>SUMPRODUCT(H$15:H$54,I$15:I$54)/H9</f>
        <v>3796.2153322090253</v>
      </c>
      <c r="J9" s="41">
        <f>G9*SUMPRODUCT(H$15:H$54,I$15:I$54)/SUMPRODUCT(H$15:H$54,G$15:G$54)</f>
        <v>3796.2153322090248</v>
      </c>
      <c r="K9" s="42">
        <v>3796.21</v>
      </c>
      <c r="L9" s="56">
        <f>K9/G9-1</f>
        <v>-7.2361057355356806E-3</v>
      </c>
    </row>
    <row r="10" spans="2:12" x14ac:dyDescent="0.3">
      <c r="C10" s="13" t="s">
        <v>5</v>
      </c>
      <c r="D10" s="14" t="s">
        <v>100</v>
      </c>
      <c r="E10" s="14" t="s">
        <v>97</v>
      </c>
      <c r="F10" s="15">
        <f>SUMPRODUCT(F$15:F$54,G$15:G$54)/G10</f>
        <v>10.59533884941337</v>
      </c>
      <c r="G10" s="16">
        <v>4966.51</v>
      </c>
      <c r="H10" s="45">
        <f>SUMPRODUCT(H$15:H$54,G$15:G$54)/G10</f>
        <v>10.59533884941337</v>
      </c>
      <c r="I10" s="46">
        <f>(SUMPRODUCT(H$15:H$54,I$15:I$54)+SUMPRODUCT(H$15:H$54,J$15:J$54))/H10</f>
        <v>4930.5787340527022</v>
      </c>
      <c r="J10" s="46">
        <f>G10*(SUMPRODUCT(H$15:H$54,I$15:I$54)+SUMPRODUCT(H$15:H$54,J$15:J$54))/SUMPRODUCT(H$15:H$54,G$15:G$54)</f>
        <v>4930.5787340527022</v>
      </c>
      <c r="K10" s="57">
        <v>4930.58</v>
      </c>
      <c r="L10" s="58">
        <f>K10/G10-1</f>
        <v>-7.2344563888928626E-3</v>
      </c>
    </row>
    <row r="11" spans="2:12" x14ac:dyDescent="0.3">
      <c r="H11" s="31"/>
      <c r="I11" s="31"/>
      <c r="J11" s="31"/>
      <c r="K11" s="59" t="s">
        <v>196</v>
      </c>
      <c r="L11" s="60">
        <f>L10-L9</f>
        <v>1.649346642818017E-6</v>
      </c>
    </row>
    <row r="13" spans="2:12" x14ac:dyDescent="0.3">
      <c r="F13" s="192">
        <f>F7</f>
        <v>43727</v>
      </c>
      <c r="G13" s="193"/>
      <c r="H13" s="192">
        <f>H7</f>
        <v>43728</v>
      </c>
      <c r="I13" s="194"/>
      <c r="J13" s="193"/>
    </row>
    <row r="14" spans="2:12" ht="29.4" thickBot="1" x14ac:dyDescent="0.35">
      <c r="B14" s="7" t="s">
        <v>188</v>
      </c>
      <c r="C14" s="6" t="s">
        <v>7</v>
      </c>
      <c r="D14" s="6" t="s">
        <v>12</v>
      </c>
      <c r="E14" s="6" t="s">
        <v>8</v>
      </c>
      <c r="F14" s="7" t="s">
        <v>9</v>
      </c>
      <c r="G14" s="17" t="s">
        <v>10</v>
      </c>
      <c r="H14" s="7" t="s">
        <v>9</v>
      </c>
      <c r="I14" s="8" t="str">
        <f>"Cena o " &amp; TEXT($D$5,"gg:mm")</f>
        <v>Cena o 11:00</v>
      </c>
      <c r="J14" s="17" t="s">
        <v>11</v>
      </c>
    </row>
    <row r="15" spans="2:12" x14ac:dyDescent="0.3">
      <c r="B15" s="24">
        <v>1</v>
      </c>
      <c r="C15" s="3" t="s">
        <v>13</v>
      </c>
      <c r="D15" s="3" t="s">
        <v>14</v>
      </c>
      <c r="E15" s="3" t="s">
        <v>101</v>
      </c>
      <c r="F15" s="4">
        <v>2.0070000000000001</v>
      </c>
      <c r="G15" s="18">
        <v>397</v>
      </c>
      <c r="H15" s="4">
        <v>2.0070000000000001</v>
      </c>
      <c r="I15" s="20">
        <v>400.5</v>
      </c>
      <c r="J15" s="21"/>
    </row>
    <row r="16" spans="2:12" x14ac:dyDescent="0.3">
      <c r="B16" s="24">
        <v>2</v>
      </c>
      <c r="C16" s="3" t="s">
        <v>15</v>
      </c>
      <c r="D16" s="3" t="s">
        <v>16</v>
      </c>
      <c r="E16" s="3" t="s">
        <v>103</v>
      </c>
      <c r="F16" s="4">
        <v>5.0570000000000004</v>
      </c>
      <c r="G16" s="18">
        <v>118</v>
      </c>
      <c r="H16" s="4">
        <v>5.0570000000000004</v>
      </c>
      <c r="I16" s="20">
        <v>117</v>
      </c>
      <c r="J16" s="21"/>
    </row>
    <row r="17" spans="2:10" x14ac:dyDescent="0.3">
      <c r="B17" s="24">
        <v>3</v>
      </c>
      <c r="C17" s="3" t="s">
        <v>17</v>
      </c>
      <c r="D17" s="3" t="s">
        <v>18</v>
      </c>
      <c r="E17" s="3" t="s">
        <v>115</v>
      </c>
      <c r="F17" s="4">
        <v>72.349999999999994</v>
      </c>
      <c r="G17" s="18">
        <v>44.95</v>
      </c>
      <c r="H17" s="4">
        <v>72.349999999999994</v>
      </c>
      <c r="I17" s="20">
        <v>44.55</v>
      </c>
      <c r="J17" s="21"/>
    </row>
    <row r="18" spans="2:10" x14ac:dyDescent="0.3">
      <c r="B18" s="24">
        <v>4</v>
      </c>
      <c r="C18" s="3" t="s">
        <v>19</v>
      </c>
      <c r="D18" s="3" t="s">
        <v>20</v>
      </c>
      <c r="E18" s="3" t="s">
        <v>102</v>
      </c>
      <c r="F18" s="4">
        <v>74.917000000000002</v>
      </c>
      <c r="G18" s="18">
        <v>52</v>
      </c>
      <c r="H18" s="4">
        <v>74.917000000000002</v>
      </c>
      <c r="I18" s="20">
        <v>51.45</v>
      </c>
      <c r="J18" s="21"/>
    </row>
    <row r="19" spans="2:10" x14ac:dyDescent="0.3">
      <c r="B19" s="24">
        <v>5</v>
      </c>
      <c r="C19" s="3" t="s">
        <v>21</v>
      </c>
      <c r="D19" s="3" t="s">
        <v>22</v>
      </c>
      <c r="E19" s="3" t="s">
        <v>106</v>
      </c>
      <c r="F19" s="4">
        <v>1.329</v>
      </c>
      <c r="G19" s="18">
        <v>714</v>
      </c>
      <c r="H19" s="4">
        <v>1.329</v>
      </c>
      <c r="I19" s="20">
        <v>714</v>
      </c>
      <c r="J19" s="21"/>
    </row>
    <row r="20" spans="2:10" x14ac:dyDescent="0.3">
      <c r="B20" s="24">
        <v>6</v>
      </c>
      <c r="C20" s="3" t="s">
        <v>23</v>
      </c>
      <c r="D20" s="3" t="s">
        <v>24</v>
      </c>
      <c r="E20" s="3" t="s">
        <v>132</v>
      </c>
      <c r="F20" s="4">
        <v>11.564</v>
      </c>
      <c r="G20" s="18">
        <v>38.9</v>
      </c>
      <c r="H20" s="4">
        <v>11.564</v>
      </c>
      <c r="I20" s="20">
        <v>38.9</v>
      </c>
      <c r="J20" s="21"/>
    </row>
    <row r="21" spans="2:10" x14ac:dyDescent="0.3">
      <c r="B21" s="24">
        <v>7</v>
      </c>
      <c r="C21" s="3" t="s">
        <v>25</v>
      </c>
      <c r="D21" s="3" t="s">
        <v>26</v>
      </c>
      <c r="E21" s="3" t="s">
        <v>110</v>
      </c>
      <c r="F21" s="4">
        <v>83.167000000000002</v>
      </c>
      <c r="G21" s="18">
        <v>4.54</v>
      </c>
      <c r="H21" s="4">
        <v>83.167000000000002</v>
      </c>
      <c r="I21" s="20">
        <v>4.51</v>
      </c>
      <c r="J21" s="21"/>
    </row>
    <row r="22" spans="2:10" x14ac:dyDescent="0.3">
      <c r="B22" s="24">
        <v>8</v>
      </c>
      <c r="C22" s="3" t="s">
        <v>27</v>
      </c>
      <c r="D22" s="3" t="s">
        <v>28</v>
      </c>
      <c r="E22" s="3" t="s">
        <v>105</v>
      </c>
      <c r="F22" s="4">
        <v>11.451000000000001</v>
      </c>
      <c r="G22" s="18">
        <v>132.80000000000001</v>
      </c>
      <c r="H22" s="4">
        <v>11.451000000000001</v>
      </c>
      <c r="I22" s="20">
        <v>133.19999999999999</v>
      </c>
      <c r="J22" s="21"/>
    </row>
    <row r="23" spans="2:10" x14ac:dyDescent="0.3">
      <c r="B23" s="24">
        <v>9</v>
      </c>
      <c r="C23" s="3" t="s">
        <v>29</v>
      </c>
      <c r="D23" s="3" t="s">
        <v>30</v>
      </c>
      <c r="E23" s="3" t="s">
        <v>112</v>
      </c>
      <c r="F23" s="4">
        <v>25.747</v>
      </c>
      <c r="G23" s="18">
        <v>35.5</v>
      </c>
      <c r="H23" s="4">
        <v>25.747</v>
      </c>
      <c r="I23" s="20">
        <v>35.6</v>
      </c>
      <c r="J23" s="21"/>
    </row>
    <row r="24" spans="2:10" x14ac:dyDescent="0.3">
      <c r="B24" s="24">
        <v>10</v>
      </c>
      <c r="C24" s="3" t="s">
        <v>31</v>
      </c>
      <c r="D24" s="3" t="s">
        <v>32</v>
      </c>
      <c r="E24" s="3" t="s">
        <v>113</v>
      </c>
      <c r="F24" s="4">
        <v>91.445999999999998</v>
      </c>
      <c r="G24" s="18">
        <v>0.996</v>
      </c>
      <c r="H24" s="4">
        <v>91.445999999999998</v>
      </c>
      <c r="I24" s="20">
        <v>0.98599999999999999</v>
      </c>
      <c r="J24" s="21"/>
    </row>
    <row r="25" spans="2:10" x14ac:dyDescent="0.3">
      <c r="B25" s="24">
        <v>11</v>
      </c>
      <c r="C25" s="3" t="s">
        <v>33</v>
      </c>
      <c r="D25" s="3" t="s">
        <v>34</v>
      </c>
      <c r="E25" s="3" t="s">
        <v>114</v>
      </c>
      <c r="F25" s="4">
        <v>4.8120000000000003</v>
      </c>
      <c r="G25" s="18">
        <v>190</v>
      </c>
      <c r="H25" s="4">
        <v>4.8120000000000003</v>
      </c>
      <c r="I25" s="20">
        <v>187.5</v>
      </c>
      <c r="J25" s="21"/>
    </row>
    <row r="26" spans="2:10" x14ac:dyDescent="0.3">
      <c r="B26" s="24">
        <v>12</v>
      </c>
      <c r="C26" s="3" t="s">
        <v>35</v>
      </c>
      <c r="D26" s="3" t="s">
        <v>36</v>
      </c>
      <c r="E26" s="3" t="s">
        <v>130</v>
      </c>
      <c r="F26" s="4">
        <v>447.55799999999999</v>
      </c>
      <c r="G26" s="18">
        <v>2.3250000000000002</v>
      </c>
      <c r="H26" s="4">
        <v>447.55799999999999</v>
      </c>
      <c r="I26" s="20">
        <v>2.31</v>
      </c>
      <c r="J26" s="21"/>
    </row>
    <row r="27" spans="2:10" x14ac:dyDescent="0.3">
      <c r="B27" s="24">
        <v>13</v>
      </c>
      <c r="C27" s="3" t="s">
        <v>37</v>
      </c>
      <c r="D27" s="3" t="s">
        <v>38</v>
      </c>
      <c r="E27" s="3" t="s">
        <v>116</v>
      </c>
      <c r="F27" s="4">
        <v>181.75899999999999</v>
      </c>
      <c r="G27" s="18">
        <v>4.78</v>
      </c>
      <c r="H27" s="4">
        <v>181.75899999999999</v>
      </c>
      <c r="I27" s="20">
        <v>4.74</v>
      </c>
      <c r="J27" s="21"/>
    </row>
    <row r="28" spans="2:10" x14ac:dyDescent="0.3">
      <c r="B28" s="24">
        <v>14</v>
      </c>
      <c r="C28" s="3" t="s">
        <v>39</v>
      </c>
      <c r="D28" s="3" t="s">
        <v>40</v>
      </c>
      <c r="E28" s="3" t="s">
        <v>117</v>
      </c>
      <c r="F28" s="4">
        <v>214.078</v>
      </c>
      <c r="G28" s="18">
        <v>8.9250000000000007</v>
      </c>
      <c r="H28" s="4">
        <v>214.078</v>
      </c>
      <c r="I28" s="20">
        <v>9.1449999999999996</v>
      </c>
      <c r="J28" s="21"/>
    </row>
    <row r="29" spans="2:10" x14ac:dyDescent="0.3">
      <c r="B29" s="24">
        <v>15</v>
      </c>
      <c r="C29" s="3" t="s">
        <v>41</v>
      </c>
      <c r="D29" s="3" t="s">
        <v>42</v>
      </c>
      <c r="E29" s="3" t="s">
        <v>118</v>
      </c>
      <c r="F29" s="4">
        <v>200.74</v>
      </c>
      <c r="G29" s="18">
        <v>6.95</v>
      </c>
      <c r="H29" s="4">
        <v>200.74</v>
      </c>
      <c r="I29" s="20">
        <v>6.8550000000000004</v>
      </c>
      <c r="J29" s="21"/>
    </row>
    <row r="30" spans="2:10" x14ac:dyDescent="0.3">
      <c r="B30" s="24">
        <v>16</v>
      </c>
      <c r="C30" s="3" t="s">
        <v>43</v>
      </c>
      <c r="D30" s="3" t="s">
        <v>44</v>
      </c>
      <c r="E30" s="3" t="s">
        <v>119</v>
      </c>
      <c r="F30" s="4">
        <v>77.875</v>
      </c>
      <c r="G30" s="18">
        <v>21.6</v>
      </c>
      <c r="H30" s="4">
        <v>77.875</v>
      </c>
      <c r="I30" s="20">
        <v>21.5</v>
      </c>
      <c r="J30" s="21"/>
    </row>
    <row r="31" spans="2:10" x14ac:dyDescent="0.3">
      <c r="B31" s="24">
        <v>17</v>
      </c>
      <c r="C31" s="3" t="s">
        <v>45</v>
      </c>
      <c r="D31" s="3" t="s">
        <v>46</v>
      </c>
      <c r="E31" s="3" t="s">
        <v>120</v>
      </c>
      <c r="F31" s="4">
        <v>302.90600000000001</v>
      </c>
      <c r="G31" s="18">
        <v>3.93</v>
      </c>
      <c r="H31" s="4">
        <v>302.90600000000001</v>
      </c>
      <c r="I31" s="20">
        <v>3.895</v>
      </c>
      <c r="J31" s="21"/>
    </row>
    <row r="32" spans="2:10" x14ac:dyDescent="0.3">
      <c r="B32" s="24">
        <v>18</v>
      </c>
      <c r="C32" s="3" t="s">
        <v>47</v>
      </c>
      <c r="D32" s="3" t="s">
        <v>48</v>
      </c>
      <c r="E32" s="3" t="s">
        <v>121</v>
      </c>
      <c r="F32" s="4">
        <v>16.166</v>
      </c>
      <c r="G32" s="18">
        <v>23.25</v>
      </c>
      <c r="H32" s="4">
        <v>16.166</v>
      </c>
      <c r="I32" s="20">
        <v>23.6</v>
      </c>
      <c r="J32" s="21"/>
    </row>
    <row r="33" spans="2:10" x14ac:dyDescent="0.3">
      <c r="B33" s="24">
        <v>19</v>
      </c>
      <c r="C33" s="3" t="s">
        <v>49</v>
      </c>
      <c r="D33" s="3" t="s">
        <v>50</v>
      </c>
      <c r="E33" s="3" t="s">
        <v>125</v>
      </c>
      <c r="F33" s="4">
        <v>85.45</v>
      </c>
      <c r="G33" s="18">
        <v>1.33</v>
      </c>
      <c r="H33" s="4">
        <v>85.45</v>
      </c>
      <c r="I33" s="20">
        <v>1.3839999999999999</v>
      </c>
      <c r="J33" s="21"/>
    </row>
    <row r="34" spans="2:10" x14ac:dyDescent="0.3">
      <c r="B34" s="24">
        <v>20</v>
      </c>
      <c r="C34" s="3" t="s">
        <v>51</v>
      </c>
      <c r="D34" s="3" t="s">
        <v>52</v>
      </c>
      <c r="E34" s="3" t="s">
        <v>122</v>
      </c>
      <c r="F34" s="4">
        <v>388.78800000000001</v>
      </c>
      <c r="G34" s="18">
        <v>0.46600000000000003</v>
      </c>
      <c r="H34" s="4">
        <v>388.78800000000001</v>
      </c>
      <c r="I34" s="20">
        <v>0.42499999999999999</v>
      </c>
      <c r="J34" s="21"/>
    </row>
    <row r="35" spans="2:10" x14ac:dyDescent="0.3">
      <c r="B35" s="24">
        <v>21</v>
      </c>
      <c r="C35" s="3" t="s">
        <v>53</v>
      </c>
      <c r="D35" s="3" t="s">
        <v>54</v>
      </c>
      <c r="E35" s="3" t="s">
        <v>123</v>
      </c>
      <c r="F35" s="4">
        <v>27.199000000000002</v>
      </c>
      <c r="G35" s="18">
        <v>41.55</v>
      </c>
      <c r="H35" s="4">
        <v>27.199000000000002</v>
      </c>
      <c r="I35" s="20">
        <v>41.5</v>
      </c>
      <c r="J35" s="21"/>
    </row>
    <row r="36" spans="2:10" x14ac:dyDescent="0.3">
      <c r="B36" s="24">
        <v>22</v>
      </c>
      <c r="C36" s="3" t="s">
        <v>55</v>
      </c>
      <c r="D36" s="3" t="s">
        <v>56</v>
      </c>
      <c r="E36" s="3" t="s">
        <v>104</v>
      </c>
      <c r="F36" s="4">
        <v>46.802999999999997</v>
      </c>
      <c r="G36" s="18">
        <v>37.32</v>
      </c>
      <c r="H36" s="4">
        <v>46.802999999999997</v>
      </c>
      <c r="I36" s="20">
        <v>37.159999999999997</v>
      </c>
      <c r="J36" s="21"/>
    </row>
    <row r="37" spans="2:10" x14ac:dyDescent="0.3">
      <c r="B37" s="24">
        <v>23</v>
      </c>
      <c r="C37" s="3" t="s">
        <v>57</v>
      </c>
      <c r="D37" s="3" t="s">
        <v>58</v>
      </c>
      <c r="E37" s="3" t="s">
        <v>124</v>
      </c>
      <c r="F37" s="4">
        <v>184.96100000000001</v>
      </c>
      <c r="G37" s="18">
        <v>9.56</v>
      </c>
      <c r="H37" s="4">
        <v>184.96100000000001</v>
      </c>
      <c r="I37" s="20">
        <v>9.57</v>
      </c>
      <c r="J37" s="21"/>
    </row>
    <row r="38" spans="2:10" x14ac:dyDescent="0.3">
      <c r="B38" s="24">
        <v>24</v>
      </c>
      <c r="C38" s="3" t="s">
        <v>59</v>
      </c>
      <c r="D38" s="3" t="s">
        <v>60</v>
      </c>
      <c r="E38" s="3" t="s">
        <v>107</v>
      </c>
      <c r="F38" s="4">
        <v>32.664000000000001</v>
      </c>
      <c r="G38" s="18">
        <v>53.1</v>
      </c>
      <c r="H38" s="4">
        <v>32.664000000000001</v>
      </c>
      <c r="I38" s="20">
        <v>52.4</v>
      </c>
      <c r="J38" s="21"/>
    </row>
    <row r="39" spans="2:10" x14ac:dyDescent="0.3">
      <c r="B39" s="24">
        <v>25</v>
      </c>
      <c r="C39" s="3" t="s">
        <v>61</v>
      </c>
      <c r="D39" s="3" t="s">
        <v>62</v>
      </c>
      <c r="E39" s="3" t="s">
        <v>126</v>
      </c>
      <c r="F39" s="4">
        <v>28.154</v>
      </c>
      <c r="G39" s="18">
        <v>195.8</v>
      </c>
      <c r="H39" s="4">
        <v>28.154</v>
      </c>
      <c r="I39" s="20">
        <v>192.6</v>
      </c>
      <c r="J39" s="21"/>
    </row>
    <row r="40" spans="2:10" x14ac:dyDescent="0.3">
      <c r="B40" s="24">
        <v>26</v>
      </c>
      <c r="C40" s="3" t="s">
        <v>63</v>
      </c>
      <c r="D40" s="3" t="s">
        <v>64</v>
      </c>
      <c r="E40" s="3" t="s">
        <v>111</v>
      </c>
      <c r="F40" s="4">
        <v>8.4149999999999991</v>
      </c>
      <c r="G40" s="18">
        <v>214</v>
      </c>
      <c r="H40" s="4">
        <v>8.4149999999999991</v>
      </c>
      <c r="I40" s="20">
        <v>214</v>
      </c>
      <c r="J40" s="21"/>
    </row>
    <row r="41" spans="2:10" x14ac:dyDescent="0.3">
      <c r="B41" s="24">
        <v>27</v>
      </c>
      <c r="C41" s="3" t="s">
        <v>65</v>
      </c>
      <c r="D41" s="3" t="s">
        <v>66</v>
      </c>
      <c r="E41" s="3" t="s">
        <v>127</v>
      </c>
      <c r="F41" s="4">
        <v>38.728000000000002</v>
      </c>
      <c r="G41" s="18">
        <v>43.4</v>
      </c>
      <c r="H41" s="4">
        <v>38.728000000000002</v>
      </c>
      <c r="I41" s="20">
        <v>43.25</v>
      </c>
      <c r="J41" s="21"/>
    </row>
    <row r="42" spans="2:10" x14ac:dyDescent="0.3">
      <c r="B42" s="24">
        <v>28</v>
      </c>
      <c r="C42" s="3" t="s">
        <v>67</v>
      </c>
      <c r="D42" s="3" t="s">
        <v>68</v>
      </c>
      <c r="E42" s="3" t="s">
        <v>129</v>
      </c>
      <c r="F42" s="4">
        <v>9.5449999999999999</v>
      </c>
      <c r="G42" s="18">
        <v>299</v>
      </c>
      <c r="H42" s="4">
        <v>9.5449999999999999</v>
      </c>
      <c r="I42" s="20">
        <v>298.5</v>
      </c>
      <c r="J42" s="21"/>
    </row>
    <row r="43" spans="2:10" x14ac:dyDescent="0.3">
      <c r="B43" s="24">
        <v>29</v>
      </c>
      <c r="C43" s="3" t="s">
        <v>69</v>
      </c>
      <c r="D43" s="3" t="s">
        <v>70</v>
      </c>
      <c r="E43" s="3" t="s">
        <v>128</v>
      </c>
      <c r="F43" s="4">
        <v>17.042999999999999</v>
      </c>
      <c r="G43" s="18">
        <v>160</v>
      </c>
      <c r="H43" s="4">
        <v>17.042999999999999</v>
      </c>
      <c r="I43" s="20">
        <v>160.5</v>
      </c>
      <c r="J43" s="21"/>
    </row>
    <row r="44" spans="2:10" x14ac:dyDescent="0.3">
      <c r="B44" s="24">
        <v>30</v>
      </c>
      <c r="C44" s="3" t="s">
        <v>71</v>
      </c>
      <c r="D44" s="3" t="s">
        <v>72</v>
      </c>
      <c r="E44" s="3" t="s">
        <v>131</v>
      </c>
      <c r="F44" s="4">
        <v>13.62</v>
      </c>
      <c r="G44" s="18">
        <v>36.65</v>
      </c>
      <c r="H44" s="4">
        <v>13.62</v>
      </c>
      <c r="I44" s="20">
        <v>36.9</v>
      </c>
      <c r="J44" s="21"/>
    </row>
    <row r="45" spans="2:10" x14ac:dyDescent="0.3">
      <c r="B45" s="24">
        <v>31</v>
      </c>
      <c r="C45" s="3" t="s">
        <v>73</v>
      </c>
      <c r="D45" s="3" t="s">
        <v>74</v>
      </c>
      <c r="E45" s="3" t="s">
        <v>133</v>
      </c>
      <c r="F45" s="4">
        <v>8.2759999999999998</v>
      </c>
      <c r="G45" s="18">
        <v>85.5</v>
      </c>
      <c r="H45" s="4">
        <v>8.2759999999999998</v>
      </c>
      <c r="I45" s="20">
        <v>82</v>
      </c>
      <c r="J45" s="21"/>
    </row>
    <row r="46" spans="2:10" x14ac:dyDescent="0.3">
      <c r="B46" s="24">
        <v>32</v>
      </c>
      <c r="C46" s="3" t="s">
        <v>75</v>
      </c>
      <c r="D46" s="3" t="s">
        <v>76</v>
      </c>
      <c r="E46" s="3" t="s">
        <v>134</v>
      </c>
      <c r="F46" s="4">
        <v>588.17399999999998</v>
      </c>
      <c r="G46" s="18">
        <v>6.28</v>
      </c>
      <c r="H46" s="4">
        <v>588.17399999999998</v>
      </c>
      <c r="I46" s="20">
        <v>6.08</v>
      </c>
      <c r="J46" s="21"/>
    </row>
    <row r="47" spans="2:10" x14ac:dyDescent="0.3">
      <c r="B47" s="24">
        <v>33</v>
      </c>
      <c r="C47" s="3" t="s">
        <v>77</v>
      </c>
      <c r="D47" s="3" t="s">
        <v>78</v>
      </c>
      <c r="E47" s="3" t="s">
        <v>135</v>
      </c>
      <c r="F47" s="4">
        <v>6.5259999999999998</v>
      </c>
      <c r="G47" s="18">
        <v>102</v>
      </c>
      <c r="H47" s="4">
        <v>6.5259999999999998</v>
      </c>
      <c r="I47" s="20">
        <v>100</v>
      </c>
      <c r="J47" s="21"/>
    </row>
    <row r="48" spans="2:10" x14ac:dyDescent="0.3">
      <c r="B48" s="24">
        <v>34</v>
      </c>
      <c r="C48" s="3" t="s">
        <v>79</v>
      </c>
      <c r="D48" s="3" t="s">
        <v>80</v>
      </c>
      <c r="E48" s="3" t="s">
        <v>136</v>
      </c>
      <c r="F48" s="4">
        <v>30.001999999999999</v>
      </c>
      <c r="G48" s="18">
        <v>26.9</v>
      </c>
      <c r="H48" s="4">
        <v>30.001999999999999</v>
      </c>
      <c r="I48" s="20">
        <v>26.95</v>
      </c>
      <c r="J48" s="21"/>
    </row>
    <row r="49" spans="2:10" x14ac:dyDescent="0.3">
      <c r="B49" s="24">
        <v>35</v>
      </c>
      <c r="C49" s="3" t="s">
        <v>81</v>
      </c>
      <c r="D49" s="3" t="s">
        <v>82</v>
      </c>
      <c r="E49" s="3" t="s">
        <v>137</v>
      </c>
      <c r="F49" s="4">
        <v>1.2</v>
      </c>
      <c r="G49" s="18">
        <v>190</v>
      </c>
      <c r="H49" s="4">
        <v>1.2</v>
      </c>
      <c r="I49" s="20">
        <v>190.2</v>
      </c>
      <c r="J49" s="21"/>
    </row>
    <row r="50" spans="2:10" x14ac:dyDescent="0.3">
      <c r="B50" s="24">
        <v>36</v>
      </c>
      <c r="C50" s="3" t="s">
        <v>83</v>
      </c>
      <c r="D50" s="3" t="s">
        <v>84</v>
      </c>
      <c r="E50" s="3" t="s">
        <v>143</v>
      </c>
      <c r="F50" s="4">
        <v>66.989000000000004</v>
      </c>
      <c r="G50" s="18">
        <v>2.27</v>
      </c>
      <c r="H50" s="4">
        <v>66.989000000000004</v>
      </c>
      <c r="I50" s="20">
        <v>2.2999999999999998</v>
      </c>
      <c r="J50" s="21"/>
    </row>
    <row r="51" spans="2:10" x14ac:dyDescent="0.3">
      <c r="B51" s="24">
        <v>37</v>
      </c>
      <c r="C51" s="3" t="s">
        <v>85</v>
      </c>
      <c r="D51" s="3" t="s">
        <v>86</v>
      </c>
      <c r="E51" s="3" t="s">
        <v>138</v>
      </c>
      <c r="F51" s="4">
        <v>1.81</v>
      </c>
      <c r="G51" s="18">
        <v>230</v>
      </c>
      <c r="H51" s="4">
        <v>1.81</v>
      </c>
      <c r="I51" s="20">
        <v>230</v>
      </c>
      <c r="J51" s="21"/>
    </row>
    <row r="52" spans="2:10" x14ac:dyDescent="0.3">
      <c r="B52" s="24">
        <v>38</v>
      </c>
      <c r="C52" s="3" t="s">
        <v>87</v>
      </c>
      <c r="D52" s="3" t="s">
        <v>88</v>
      </c>
      <c r="E52" s="3" t="s">
        <v>144</v>
      </c>
      <c r="F52" s="4">
        <v>35.243000000000002</v>
      </c>
      <c r="G52" s="18">
        <v>2.0249999999999999</v>
      </c>
      <c r="H52" s="4">
        <v>35.243000000000002</v>
      </c>
      <c r="I52" s="20">
        <v>2.0150000000000001</v>
      </c>
      <c r="J52" s="21"/>
    </row>
    <row r="53" spans="2:10" x14ac:dyDescent="0.3">
      <c r="B53" s="24">
        <v>39</v>
      </c>
      <c r="C53" s="3" t="s">
        <v>89</v>
      </c>
      <c r="D53" s="3" t="s">
        <v>90</v>
      </c>
      <c r="E53" s="3" t="s">
        <v>141</v>
      </c>
      <c r="F53" s="4">
        <v>174.375</v>
      </c>
      <c r="G53" s="18">
        <v>4.2699999999999996</v>
      </c>
      <c r="H53" s="4">
        <v>174.375</v>
      </c>
      <c r="I53" s="20">
        <v>4.24</v>
      </c>
      <c r="J53" s="21"/>
    </row>
    <row r="54" spans="2:10" x14ac:dyDescent="0.3">
      <c r="B54" s="25">
        <v>40</v>
      </c>
      <c r="C54" s="14" t="s">
        <v>91</v>
      </c>
      <c r="D54" s="14" t="s">
        <v>92</v>
      </c>
      <c r="E54" s="14" t="s">
        <v>142</v>
      </c>
      <c r="F54" s="15">
        <v>17.663</v>
      </c>
      <c r="G54" s="19">
        <v>66</v>
      </c>
      <c r="H54" s="15">
        <v>17.663</v>
      </c>
      <c r="I54" s="22">
        <v>65.2</v>
      </c>
      <c r="J54" s="23"/>
    </row>
  </sheetData>
  <mergeCells count="4">
    <mergeCell ref="F13:G13"/>
    <mergeCell ref="H13:J13"/>
    <mergeCell ref="F7:G7"/>
    <mergeCell ref="H7:L7"/>
  </mergeCells>
  <conditionalFormatting sqref="I9">
    <cfRule type="expression" dxfId="24" priority="4">
      <formula>ABS(I9-$K9)&gt;0.1</formula>
    </cfRule>
  </conditionalFormatting>
  <conditionalFormatting sqref="J9">
    <cfRule type="expression" dxfId="23" priority="3">
      <formula>ABS(J9-$K9)&gt;0.1</formula>
    </cfRule>
  </conditionalFormatting>
  <conditionalFormatting sqref="I10">
    <cfRule type="expression" dxfId="22" priority="2">
      <formula>ABS(I10-$K10)&gt;0.1</formula>
    </cfRule>
  </conditionalFormatting>
  <conditionalFormatting sqref="J10">
    <cfRule type="expression" dxfId="21" priority="1">
      <formula>ABS(J10-$K10)&gt;0.1</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26E93-85E7-40BA-8FB7-43C36D3B5FE3}">
  <dimension ref="B2:L56"/>
  <sheetViews>
    <sheetView showGridLines="0" workbookViewId="0"/>
  </sheetViews>
  <sheetFormatPr defaultRowHeight="14.4" x14ac:dyDescent="0.3"/>
  <cols>
    <col min="1" max="2" width="3.33203125" customWidth="1"/>
    <col min="3" max="3" width="12.88671875" bestFit="1" customWidth="1"/>
    <col min="4" max="4" width="14.6640625" bestFit="1" customWidth="1"/>
    <col min="5" max="5" width="14.5546875" customWidth="1"/>
    <col min="6" max="9" width="11.33203125" customWidth="1"/>
    <col min="10" max="10" width="12.33203125" customWidth="1"/>
    <col min="11" max="11" width="15.5546875" customWidth="1"/>
    <col min="12" max="12" width="11.109375" customWidth="1"/>
  </cols>
  <sheetData>
    <row r="2" spans="2:12" x14ac:dyDescent="0.3">
      <c r="C2" s="29" t="s">
        <v>1</v>
      </c>
      <c r="D2" s="30" t="s">
        <v>187</v>
      </c>
    </row>
    <row r="3" spans="2:12" x14ac:dyDescent="0.3">
      <c r="C3" s="3" t="s">
        <v>93</v>
      </c>
      <c r="D3" s="26" t="s">
        <v>6</v>
      </c>
    </row>
    <row r="4" spans="2:12" x14ac:dyDescent="0.3">
      <c r="C4" s="3" t="s">
        <v>2</v>
      </c>
      <c r="D4" s="27">
        <v>43731</v>
      </c>
    </row>
    <row r="5" spans="2:12" x14ac:dyDescent="0.3">
      <c r="C5" s="3" t="s">
        <v>3</v>
      </c>
      <c r="D5" s="28">
        <v>0.45833333333333331</v>
      </c>
    </row>
    <row r="6" spans="2:12" x14ac:dyDescent="0.3">
      <c r="D6" s="1"/>
    </row>
    <row r="7" spans="2:12" x14ac:dyDescent="0.3">
      <c r="F7" s="195">
        <f>WORKDAY(H7,-1)</f>
        <v>43728</v>
      </c>
      <c r="G7" s="196"/>
      <c r="H7" s="197">
        <f>$D$4</f>
        <v>43731</v>
      </c>
      <c r="I7" s="198"/>
      <c r="J7" s="198"/>
      <c r="K7" s="198"/>
      <c r="L7" s="199"/>
    </row>
    <row r="8" spans="2:12" ht="29.4" thickBot="1" x14ac:dyDescent="0.35">
      <c r="C8" s="10" t="s">
        <v>0</v>
      </c>
      <c r="D8" s="6" t="s">
        <v>94</v>
      </c>
      <c r="E8" s="6" t="s">
        <v>8</v>
      </c>
      <c r="F8" s="7" t="s">
        <v>98</v>
      </c>
      <c r="G8" s="8" t="s">
        <v>10</v>
      </c>
      <c r="H8" s="7" t="s">
        <v>98</v>
      </c>
      <c r="I8" s="8" t="str">
        <f>"Poziom o " &amp; TEXT($D$5,"gg:mm")</f>
        <v>Poziom o 11:00</v>
      </c>
      <c r="J8" s="8" t="s">
        <v>186</v>
      </c>
      <c r="K8" s="9" t="s">
        <v>99</v>
      </c>
      <c r="L8" s="11" t="s">
        <v>185</v>
      </c>
    </row>
    <row r="9" spans="2:12" x14ac:dyDescent="0.3">
      <c r="C9" s="12" t="s">
        <v>6</v>
      </c>
      <c r="D9" s="3" t="s">
        <v>95</v>
      </c>
      <c r="E9" s="3" t="s">
        <v>96</v>
      </c>
      <c r="F9" s="4">
        <f>SUMPRODUCT(F$15:F$56,G$15:G$56)/G9</f>
        <v>13.761389443472796</v>
      </c>
      <c r="G9" s="5">
        <v>3750.76</v>
      </c>
      <c r="H9" s="40">
        <f>SUMPRODUCT(H$15:H$54,G$15:G$54)/G9</f>
        <v>14.141111078554752</v>
      </c>
      <c r="I9" s="41">
        <f>SUMPRODUCT(H$15:H$54,I$15:I$54)/H9</f>
        <v>3716.4735673210785</v>
      </c>
      <c r="J9" s="41">
        <f>G9*SUMPRODUCT(H$15:H$54,I$15:I$54)/SUMPRODUCT(H$15:H$54,G$15:G$54)</f>
        <v>3716.473567321078</v>
      </c>
      <c r="K9" s="42">
        <v>3716.47</v>
      </c>
      <c r="L9" s="56">
        <f>K9/G9-1</f>
        <v>-9.1421471915026364E-3</v>
      </c>
    </row>
    <row r="10" spans="2:12" x14ac:dyDescent="0.3">
      <c r="C10" s="13" t="s">
        <v>5</v>
      </c>
      <c r="D10" s="14" t="s">
        <v>100</v>
      </c>
      <c r="E10" s="14" t="s">
        <v>97</v>
      </c>
      <c r="F10" s="15">
        <f>SUMPRODUCT(F$15:F$56,G$15:G$56)/G10</f>
        <v>10.595349534028259</v>
      </c>
      <c r="G10" s="16">
        <v>4871.54</v>
      </c>
      <c r="H10" s="45">
        <f>SUMPRODUCT(H$15:H$54,G$15:G$54)/G10</f>
        <v>10.887709797928382</v>
      </c>
      <c r="I10" s="46">
        <f>(SUMPRODUCT(H$15:H$54,I$15:I$54)+SUMPRODUCT(H$15:H$54,J$15:J$54))/H10</f>
        <v>4827.0082975576479</v>
      </c>
      <c r="J10" s="46">
        <f>G10*(SUMPRODUCT(H$15:H$54,I$15:I$54)+SUMPRODUCT(H$15:H$54,J$15:J$54))/SUMPRODUCT(H$15:H$54,G$15:G$54)</f>
        <v>4827.0082975576479</v>
      </c>
      <c r="K10" s="57">
        <v>4827.01</v>
      </c>
      <c r="L10" s="58">
        <f>K10/G10-1</f>
        <v>-9.140846631660593E-3</v>
      </c>
    </row>
    <row r="11" spans="2:12" x14ac:dyDescent="0.3">
      <c r="H11" s="31"/>
      <c r="I11" s="31"/>
      <c r="J11" s="31"/>
      <c r="K11" s="59" t="s">
        <v>196</v>
      </c>
      <c r="L11" s="60">
        <f>L10-L9</f>
        <v>1.3005598420434694E-6</v>
      </c>
    </row>
    <row r="13" spans="2:12" x14ac:dyDescent="0.3">
      <c r="F13" s="192">
        <f>F7</f>
        <v>43728</v>
      </c>
      <c r="G13" s="193"/>
      <c r="H13" s="192">
        <f>H7</f>
        <v>43731</v>
      </c>
      <c r="I13" s="194"/>
      <c r="J13" s="193"/>
    </row>
    <row r="14" spans="2:12" ht="29.4" thickBot="1" x14ac:dyDescent="0.35">
      <c r="B14" s="10" t="s">
        <v>188</v>
      </c>
      <c r="C14" s="6" t="s">
        <v>7</v>
      </c>
      <c r="D14" s="6" t="s">
        <v>12</v>
      </c>
      <c r="E14" s="6" t="s">
        <v>8</v>
      </c>
      <c r="F14" s="7" t="s">
        <v>9</v>
      </c>
      <c r="G14" s="17" t="s">
        <v>10</v>
      </c>
      <c r="H14" s="7" t="s">
        <v>9</v>
      </c>
      <c r="I14" s="8" t="str">
        <f>"Cena o " &amp; TEXT($D$5,"gg:mm")</f>
        <v>Cena o 11:00</v>
      </c>
      <c r="J14" s="17" t="s">
        <v>11</v>
      </c>
    </row>
    <row r="15" spans="2:12" x14ac:dyDescent="0.3">
      <c r="B15" s="24">
        <v>1</v>
      </c>
      <c r="C15" s="3" t="s">
        <v>13</v>
      </c>
      <c r="D15" s="3" t="s">
        <v>14</v>
      </c>
      <c r="E15" s="3" t="s">
        <v>101</v>
      </c>
      <c r="F15" s="4">
        <v>2.0070000000000001</v>
      </c>
      <c r="G15" s="18">
        <v>386</v>
      </c>
      <c r="H15" s="4">
        <v>2.0070000000000001</v>
      </c>
      <c r="I15" s="20">
        <v>388</v>
      </c>
      <c r="J15" s="21"/>
    </row>
    <row r="16" spans="2:12" x14ac:dyDescent="0.3">
      <c r="B16" s="24">
        <v>2</v>
      </c>
      <c r="C16" s="3" t="s">
        <v>15</v>
      </c>
      <c r="D16" s="3" t="s">
        <v>16</v>
      </c>
      <c r="E16" s="3" t="s">
        <v>103</v>
      </c>
      <c r="F16" s="4">
        <v>5.0570000000000004</v>
      </c>
      <c r="G16" s="18">
        <v>114</v>
      </c>
      <c r="H16" s="4">
        <v>5.0570000000000004</v>
      </c>
      <c r="I16" s="20">
        <v>111.2</v>
      </c>
      <c r="J16" s="21"/>
    </row>
    <row r="17" spans="2:10" x14ac:dyDescent="0.3">
      <c r="B17" s="24">
        <v>3</v>
      </c>
      <c r="C17" s="3" t="s">
        <v>17</v>
      </c>
      <c r="D17" s="3" t="s">
        <v>18</v>
      </c>
      <c r="E17" s="3" t="s">
        <v>115</v>
      </c>
      <c r="F17" s="4">
        <v>72.349999999999994</v>
      </c>
      <c r="G17" s="18">
        <v>44.5</v>
      </c>
      <c r="H17" s="4">
        <v>72.349999999999994</v>
      </c>
      <c r="I17" s="20">
        <v>44.9</v>
      </c>
      <c r="J17" s="21"/>
    </row>
    <row r="18" spans="2:10" x14ac:dyDescent="0.3">
      <c r="B18" s="24">
        <v>4</v>
      </c>
      <c r="C18" s="3" t="s">
        <v>19</v>
      </c>
      <c r="D18" s="3" t="s">
        <v>20</v>
      </c>
      <c r="E18" s="3" t="s">
        <v>102</v>
      </c>
      <c r="F18" s="4">
        <v>74.917000000000002</v>
      </c>
      <c r="G18" s="18">
        <v>50.25</v>
      </c>
      <c r="H18" s="4">
        <v>74.917000000000002</v>
      </c>
      <c r="I18" s="20">
        <v>50.35</v>
      </c>
      <c r="J18" s="21"/>
    </row>
    <row r="19" spans="2:10" x14ac:dyDescent="0.3">
      <c r="B19" s="24">
        <v>5</v>
      </c>
      <c r="C19" s="3" t="s">
        <v>21</v>
      </c>
      <c r="D19" s="3" t="s">
        <v>22</v>
      </c>
      <c r="E19" s="3" t="s">
        <v>106</v>
      </c>
      <c r="F19" s="4">
        <v>1.329</v>
      </c>
      <c r="G19" s="18">
        <v>732</v>
      </c>
      <c r="H19" s="4">
        <v>1.329</v>
      </c>
      <c r="I19" s="20">
        <v>730</v>
      </c>
      <c r="J19" s="21"/>
    </row>
    <row r="20" spans="2:10" x14ac:dyDescent="0.3">
      <c r="B20" s="24">
        <v>6</v>
      </c>
      <c r="C20" s="3" t="s">
        <v>190</v>
      </c>
      <c r="D20" s="3" t="s">
        <v>109</v>
      </c>
      <c r="E20" s="3" t="s">
        <v>108</v>
      </c>
      <c r="F20" s="4"/>
      <c r="G20" s="18">
        <v>72.2</v>
      </c>
      <c r="H20" s="4">
        <v>16.568000000000001</v>
      </c>
      <c r="I20" s="20">
        <v>70.8</v>
      </c>
      <c r="J20" s="21"/>
    </row>
    <row r="21" spans="2:10" x14ac:dyDescent="0.3">
      <c r="B21" s="24">
        <v>7</v>
      </c>
      <c r="C21" s="3" t="s">
        <v>23</v>
      </c>
      <c r="D21" s="3" t="s">
        <v>24</v>
      </c>
      <c r="E21" s="3" t="s">
        <v>132</v>
      </c>
      <c r="F21" s="4">
        <v>11.564</v>
      </c>
      <c r="G21" s="18">
        <v>39.25</v>
      </c>
      <c r="H21" s="4">
        <v>11.564</v>
      </c>
      <c r="I21" s="20">
        <v>38.950000000000003</v>
      </c>
      <c r="J21" s="21"/>
    </row>
    <row r="22" spans="2:10" x14ac:dyDescent="0.3">
      <c r="B22" s="24">
        <v>8</v>
      </c>
      <c r="C22" s="3" t="s">
        <v>25</v>
      </c>
      <c r="D22" s="3" t="s">
        <v>26</v>
      </c>
      <c r="E22" s="3" t="s">
        <v>110</v>
      </c>
      <c r="F22" s="4">
        <v>83.167000000000002</v>
      </c>
      <c r="G22" s="18">
        <v>4.4000000000000004</v>
      </c>
      <c r="H22" s="4">
        <v>83.167000000000002</v>
      </c>
      <c r="I22" s="20">
        <v>4.3949999999999996</v>
      </c>
      <c r="J22" s="21"/>
    </row>
    <row r="23" spans="2:10" x14ac:dyDescent="0.3">
      <c r="B23" s="24">
        <v>9</v>
      </c>
      <c r="C23" s="3" t="s">
        <v>27</v>
      </c>
      <c r="D23" s="3" t="s">
        <v>28</v>
      </c>
      <c r="E23" s="3" t="s">
        <v>105</v>
      </c>
      <c r="F23" s="4">
        <v>11.451000000000001</v>
      </c>
      <c r="G23" s="18">
        <v>131</v>
      </c>
      <c r="H23" s="4">
        <v>11.451000000000001</v>
      </c>
      <c r="I23" s="20">
        <v>129.6</v>
      </c>
      <c r="J23" s="21"/>
    </row>
    <row r="24" spans="2:10" x14ac:dyDescent="0.3">
      <c r="B24" s="24">
        <v>10</v>
      </c>
      <c r="C24" s="3" t="s">
        <v>29</v>
      </c>
      <c r="D24" s="3" t="s">
        <v>30</v>
      </c>
      <c r="E24" s="3" t="s">
        <v>112</v>
      </c>
      <c r="F24" s="4">
        <v>25.747</v>
      </c>
      <c r="G24" s="18">
        <v>35.9</v>
      </c>
      <c r="H24" s="4">
        <v>25.747</v>
      </c>
      <c r="I24" s="20">
        <v>35.75</v>
      </c>
      <c r="J24" s="21"/>
    </row>
    <row r="25" spans="2:10" x14ac:dyDescent="0.3">
      <c r="B25" s="24">
        <v>11</v>
      </c>
      <c r="C25" s="3" t="s">
        <v>31</v>
      </c>
      <c r="D25" s="3" t="s">
        <v>32</v>
      </c>
      <c r="E25" s="3" t="s">
        <v>113</v>
      </c>
      <c r="F25" s="4">
        <v>91.445999999999998</v>
      </c>
      <c r="G25" s="18">
        <v>0.97</v>
      </c>
      <c r="H25" s="4">
        <v>91.445999999999998</v>
      </c>
      <c r="I25" s="20">
        <v>0.97399999999999998</v>
      </c>
      <c r="J25" s="21"/>
    </row>
    <row r="26" spans="2:10" x14ac:dyDescent="0.3">
      <c r="B26" s="24">
        <v>12</v>
      </c>
      <c r="C26" s="3" t="s">
        <v>33</v>
      </c>
      <c r="D26" s="3" t="s">
        <v>34</v>
      </c>
      <c r="E26" s="3" t="s">
        <v>114</v>
      </c>
      <c r="F26" s="4">
        <v>4.8120000000000003</v>
      </c>
      <c r="G26" s="18">
        <v>183</v>
      </c>
      <c r="H26" s="4">
        <v>4.9539999999999997</v>
      </c>
      <c r="I26" s="20">
        <v>178.5</v>
      </c>
      <c r="J26" s="21"/>
    </row>
    <row r="27" spans="2:10" x14ac:dyDescent="0.3">
      <c r="B27" s="24">
        <v>13</v>
      </c>
      <c r="C27" s="3" t="s">
        <v>35</v>
      </c>
      <c r="D27" s="3" t="s">
        <v>36</v>
      </c>
      <c r="E27" s="3" t="s">
        <v>130</v>
      </c>
      <c r="F27" s="4">
        <v>447.55799999999999</v>
      </c>
      <c r="G27" s="18">
        <v>2.25</v>
      </c>
      <c r="H27" s="4">
        <v>447.55799999999999</v>
      </c>
      <c r="I27" s="20">
        <v>2.27</v>
      </c>
      <c r="J27" s="21"/>
    </row>
    <row r="28" spans="2:10" x14ac:dyDescent="0.3">
      <c r="B28" s="24">
        <v>14</v>
      </c>
      <c r="C28" s="3" t="s">
        <v>37</v>
      </c>
      <c r="D28" s="3" t="s">
        <v>38</v>
      </c>
      <c r="E28" s="3" t="s">
        <v>116</v>
      </c>
      <c r="F28" s="4">
        <v>181.75899999999999</v>
      </c>
      <c r="G28" s="18">
        <v>4.66</v>
      </c>
      <c r="H28" s="4">
        <v>181.75899999999999</v>
      </c>
      <c r="I28" s="20">
        <v>4.7</v>
      </c>
      <c r="J28" s="21"/>
    </row>
    <row r="29" spans="2:10" x14ac:dyDescent="0.3">
      <c r="B29" s="24">
        <v>15</v>
      </c>
      <c r="C29" s="3" t="s">
        <v>39</v>
      </c>
      <c r="D29" s="3" t="s">
        <v>40</v>
      </c>
      <c r="E29" s="3" t="s">
        <v>117</v>
      </c>
      <c r="F29" s="4">
        <v>214.078</v>
      </c>
      <c r="G29" s="18">
        <v>9.0449999999999999</v>
      </c>
      <c r="H29" s="4">
        <v>214.078</v>
      </c>
      <c r="I29" s="20">
        <v>9.1449999999999996</v>
      </c>
      <c r="J29" s="21"/>
    </row>
    <row r="30" spans="2:10" x14ac:dyDescent="0.3">
      <c r="B30" s="24">
        <v>16</v>
      </c>
      <c r="C30" s="3" t="s">
        <v>41</v>
      </c>
      <c r="D30" s="3" t="s">
        <v>42</v>
      </c>
      <c r="E30" s="3" t="s">
        <v>118</v>
      </c>
      <c r="F30" s="4">
        <v>200.74</v>
      </c>
      <c r="G30" s="18">
        <v>6.67</v>
      </c>
      <c r="H30" s="4">
        <v>200.74</v>
      </c>
      <c r="I30" s="20">
        <v>6.67</v>
      </c>
      <c r="J30" s="21"/>
    </row>
    <row r="31" spans="2:10" x14ac:dyDescent="0.3">
      <c r="B31" s="24">
        <v>17</v>
      </c>
      <c r="C31" s="3" t="s">
        <v>43</v>
      </c>
      <c r="D31" s="3" t="s">
        <v>44</v>
      </c>
      <c r="E31" s="3" t="s">
        <v>119</v>
      </c>
      <c r="F31" s="4">
        <v>77.875</v>
      </c>
      <c r="G31" s="18">
        <v>21.36</v>
      </c>
      <c r="H31" s="4">
        <v>77.875</v>
      </c>
      <c r="I31" s="20">
        <v>21.46</v>
      </c>
      <c r="J31" s="21"/>
    </row>
    <row r="32" spans="2:10" x14ac:dyDescent="0.3">
      <c r="B32" s="24">
        <v>18</v>
      </c>
      <c r="C32" s="3" t="s">
        <v>45</v>
      </c>
      <c r="D32" s="3" t="s">
        <v>46</v>
      </c>
      <c r="E32" s="3" t="s">
        <v>120</v>
      </c>
      <c r="F32" s="4">
        <v>302.90600000000001</v>
      </c>
      <c r="G32" s="18">
        <v>3.875</v>
      </c>
      <c r="H32" s="4">
        <v>302.91000000000003</v>
      </c>
      <c r="I32" s="20">
        <v>3.76</v>
      </c>
      <c r="J32" s="21"/>
    </row>
    <row r="33" spans="2:10" x14ac:dyDescent="0.3">
      <c r="B33" s="24">
        <v>19</v>
      </c>
      <c r="C33" s="3" t="s">
        <v>47</v>
      </c>
      <c r="D33" s="3" t="s">
        <v>48</v>
      </c>
      <c r="E33" s="3" t="s">
        <v>121</v>
      </c>
      <c r="F33" s="4">
        <v>16.166</v>
      </c>
      <c r="G33" s="18">
        <v>23.65</v>
      </c>
      <c r="H33" s="4">
        <v>16.166</v>
      </c>
      <c r="I33" s="20">
        <v>22.7</v>
      </c>
      <c r="J33" s="21"/>
    </row>
    <row r="34" spans="2:10" x14ac:dyDescent="0.3">
      <c r="B34" s="24">
        <v>20</v>
      </c>
      <c r="C34" s="3" t="s">
        <v>49</v>
      </c>
      <c r="D34" s="3" t="s">
        <v>50</v>
      </c>
      <c r="E34" s="3" t="s">
        <v>125</v>
      </c>
      <c r="F34" s="4">
        <v>85.45</v>
      </c>
      <c r="G34" s="18">
        <v>1.43</v>
      </c>
      <c r="H34" s="4">
        <v>85.45</v>
      </c>
      <c r="I34" s="20">
        <v>1.3959999999999999</v>
      </c>
      <c r="J34" s="21"/>
    </row>
    <row r="35" spans="2:10" x14ac:dyDescent="0.3">
      <c r="B35" s="24">
        <v>21</v>
      </c>
      <c r="C35" s="3" t="s">
        <v>51</v>
      </c>
      <c r="D35" s="3" t="s">
        <v>52</v>
      </c>
      <c r="E35" s="3" t="s">
        <v>122</v>
      </c>
      <c r="F35" s="4">
        <v>388.78800000000001</v>
      </c>
      <c r="G35" s="18">
        <v>0.40050000000000002</v>
      </c>
      <c r="H35" s="4">
        <v>388.78800000000001</v>
      </c>
      <c r="I35" s="20">
        <v>0.374</v>
      </c>
      <c r="J35" s="21"/>
    </row>
    <row r="36" spans="2:10" x14ac:dyDescent="0.3">
      <c r="B36" s="24">
        <v>22</v>
      </c>
      <c r="C36" s="3" t="s">
        <v>53</v>
      </c>
      <c r="D36" s="3" t="s">
        <v>54</v>
      </c>
      <c r="E36" s="3" t="s">
        <v>123</v>
      </c>
      <c r="F36" s="4">
        <v>27.199000000000002</v>
      </c>
      <c r="G36" s="18">
        <v>40.049999999999997</v>
      </c>
      <c r="H36" s="4">
        <v>27.199000000000002</v>
      </c>
      <c r="I36" s="20">
        <v>40.200000000000003</v>
      </c>
      <c r="J36" s="21"/>
    </row>
    <row r="37" spans="2:10" x14ac:dyDescent="0.3">
      <c r="B37" s="24">
        <v>23</v>
      </c>
      <c r="C37" s="3" t="s">
        <v>55</v>
      </c>
      <c r="D37" s="3" t="s">
        <v>56</v>
      </c>
      <c r="E37" s="3" t="s">
        <v>104</v>
      </c>
      <c r="F37" s="4">
        <v>46.802999999999997</v>
      </c>
      <c r="G37" s="18">
        <v>35.68</v>
      </c>
      <c r="H37" s="4">
        <v>46.802999999999997</v>
      </c>
      <c r="I37" s="20">
        <v>34.92</v>
      </c>
      <c r="J37" s="21"/>
    </row>
    <row r="38" spans="2:10" x14ac:dyDescent="0.3">
      <c r="B38" s="24">
        <v>24</v>
      </c>
      <c r="C38" s="3" t="s">
        <v>57</v>
      </c>
      <c r="D38" s="3" t="s">
        <v>58</v>
      </c>
      <c r="E38" s="3" t="s">
        <v>124</v>
      </c>
      <c r="F38" s="4">
        <v>184.96100000000001</v>
      </c>
      <c r="G38" s="18">
        <v>9.2200000000000006</v>
      </c>
      <c r="H38" s="4">
        <v>186.98</v>
      </c>
      <c r="I38" s="20">
        <v>9.23</v>
      </c>
      <c r="J38" s="21"/>
    </row>
    <row r="39" spans="2:10" x14ac:dyDescent="0.3">
      <c r="B39" s="24">
        <v>25</v>
      </c>
      <c r="C39" s="3" t="s">
        <v>59</v>
      </c>
      <c r="D39" s="3" t="s">
        <v>60</v>
      </c>
      <c r="E39" s="3" t="s">
        <v>107</v>
      </c>
      <c r="F39" s="4">
        <v>32.664000000000001</v>
      </c>
      <c r="G39" s="18">
        <v>52.8</v>
      </c>
      <c r="H39" s="4">
        <v>32.664000000000001</v>
      </c>
      <c r="I39" s="20">
        <v>51.7</v>
      </c>
      <c r="J39" s="21"/>
    </row>
    <row r="40" spans="2:10" x14ac:dyDescent="0.3">
      <c r="B40" s="24">
        <v>26</v>
      </c>
      <c r="C40" s="3" t="s">
        <v>61</v>
      </c>
      <c r="D40" s="3" t="s">
        <v>62</v>
      </c>
      <c r="E40" s="3" t="s">
        <v>126</v>
      </c>
      <c r="F40" s="4">
        <v>28.154</v>
      </c>
      <c r="G40" s="18">
        <v>193.2</v>
      </c>
      <c r="H40" s="4">
        <v>27.858000000000001</v>
      </c>
      <c r="I40" s="20">
        <v>192</v>
      </c>
      <c r="J40" s="21"/>
    </row>
    <row r="41" spans="2:10" x14ac:dyDescent="0.3">
      <c r="B41" s="24">
        <v>27</v>
      </c>
      <c r="C41" s="3" t="s">
        <v>63</v>
      </c>
      <c r="D41" s="3" t="s">
        <v>64</v>
      </c>
      <c r="E41" s="3" t="s">
        <v>111</v>
      </c>
      <c r="F41" s="4">
        <v>8.4149999999999991</v>
      </c>
      <c r="G41" s="18">
        <v>210</v>
      </c>
      <c r="H41" s="4">
        <v>8.1739999999999995</v>
      </c>
      <c r="I41" s="20">
        <v>209</v>
      </c>
      <c r="J41" s="21"/>
    </row>
    <row r="42" spans="2:10" x14ac:dyDescent="0.3">
      <c r="B42" s="24">
        <v>28</v>
      </c>
      <c r="C42" s="3" t="s">
        <v>65</v>
      </c>
      <c r="D42" s="3" t="s">
        <v>66</v>
      </c>
      <c r="E42" s="3" t="s">
        <v>127</v>
      </c>
      <c r="F42" s="4">
        <v>38.728000000000002</v>
      </c>
      <c r="G42" s="18">
        <v>44.95</v>
      </c>
      <c r="H42" s="4">
        <v>38.728000000000002</v>
      </c>
      <c r="I42" s="20">
        <v>43.75</v>
      </c>
      <c r="J42" s="21"/>
    </row>
    <row r="43" spans="2:10" x14ac:dyDescent="0.3">
      <c r="B43" s="24">
        <v>29</v>
      </c>
      <c r="C43" s="3" t="s">
        <v>67</v>
      </c>
      <c r="D43" s="3" t="s">
        <v>68</v>
      </c>
      <c r="E43" s="3" t="s">
        <v>129</v>
      </c>
      <c r="F43" s="4">
        <v>9.5449999999999999</v>
      </c>
      <c r="G43" s="18">
        <v>299</v>
      </c>
      <c r="H43" s="4">
        <v>9.5690000000000008</v>
      </c>
      <c r="I43" s="20">
        <v>289</v>
      </c>
      <c r="J43" s="21"/>
    </row>
    <row r="44" spans="2:10" x14ac:dyDescent="0.3">
      <c r="B44" s="24">
        <v>30</v>
      </c>
      <c r="C44" s="3" t="s">
        <v>69</v>
      </c>
      <c r="D44" s="3" t="s">
        <v>70</v>
      </c>
      <c r="E44" s="3" t="s">
        <v>128</v>
      </c>
      <c r="F44" s="4">
        <v>17.042999999999999</v>
      </c>
      <c r="G44" s="18">
        <v>156.1</v>
      </c>
      <c r="H44" s="4">
        <v>17.042999999999999</v>
      </c>
      <c r="I44" s="20">
        <v>154.6</v>
      </c>
      <c r="J44" s="21"/>
    </row>
    <row r="45" spans="2:10" x14ac:dyDescent="0.3">
      <c r="B45" s="24">
        <v>31</v>
      </c>
      <c r="C45" s="3" t="s">
        <v>71</v>
      </c>
      <c r="D45" s="3" t="s">
        <v>72</v>
      </c>
      <c r="E45" s="3" t="s">
        <v>131</v>
      </c>
      <c r="F45" s="4">
        <v>13.62</v>
      </c>
      <c r="G45" s="18">
        <v>36.1</v>
      </c>
      <c r="H45" s="4">
        <v>13.62</v>
      </c>
      <c r="I45" s="20">
        <v>36.200000000000003</v>
      </c>
      <c r="J45" s="21"/>
    </row>
    <row r="46" spans="2:10" x14ac:dyDescent="0.3">
      <c r="B46" s="24">
        <v>32</v>
      </c>
      <c r="C46" s="3" t="s">
        <v>73</v>
      </c>
      <c r="D46" s="3" t="s">
        <v>74</v>
      </c>
      <c r="E46" s="3" t="s">
        <v>133</v>
      </c>
      <c r="F46" s="4">
        <v>8.2759999999999998</v>
      </c>
      <c r="G46" s="18">
        <v>81</v>
      </c>
      <c r="H46" s="4">
        <v>8.2759999999999998</v>
      </c>
      <c r="I46" s="20">
        <v>80.900000000000006</v>
      </c>
      <c r="J46" s="21"/>
    </row>
    <row r="47" spans="2:10" x14ac:dyDescent="0.3">
      <c r="B47" s="24">
        <v>33</v>
      </c>
      <c r="C47" s="3" t="s">
        <v>75</v>
      </c>
      <c r="D47" s="3" t="s">
        <v>76</v>
      </c>
      <c r="E47" s="3" t="s">
        <v>134</v>
      </c>
      <c r="F47" s="4">
        <v>588.17399999999998</v>
      </c>
      <c r="G47" s="18">
        <v>5.8949999999999996</v>
      </c>
      <c r="H47" s="4">
        <v>605.34500000000003</v>
      </c>
      <c r="I47" s="20">
        <v>5.6749999999999998</v>
      </c>
      <c r="J47" s="21"/>
    </row>
    <row r="48" spans="2:10" x14ac:dyDescent="0.3">
      <c r="B48" s="24">
        <v>34</v>
      </c>
      <c r="C48" s="3" t="s">
        <v>77</v>
      </c>
      <c r="D48" s="3" t="s">
        <v>78</v>
      </c>
      <c r="E48" s="3" t="s">
        <v>135</v>
      </c>
      <c r="F48" s="4">
        <v>6.5259999999999998</v>
      </c>
      <c r="G48" s="18">
        <v>99.4</v>
      </c>
      <c r="H48" s="4">
        <v>6.5259999999999998</v>
      </c>
      <c r="I48" s="20">
        <v>99.4</v>
      </c>
      <c r="J48" s="21"/>
    </row>
    <row r="49" spans="2:10" x14ac:dyDescent="0.3">
      <c r="B49" s="24">
        <v>35</v>
      </c>
      <c r="C49" s="3" t="s">
        <v>79</v>
      </c>
      <c r="D49" s="3" t="s">
        <v>80</v>
      </c>
      <c r="E49" s="3" t="s">
        <v>136</v>
      </c>
      <c r="F49" s="4">
        <v>30.001999999999999</v>
      </c>
      <c r="G49" s="18">
        <v>26</v>
      </c>
      <c r="H49" s="4">
        <v>30.001999999999999</v>
      </c>
      <c r="I49" s="20">
        <v>25.9</v>
      </c>
      <c r="J49" s="21"/>
    </row>
    <row r="50" spans="2:10" x14ac:dyDescent="0.3">
      <c r="B50" s="24">
        <v>36</v>
      </c>
      <c r="C50" s="3" t="s">
        <v>81</v>
      </c>
      <c r="D50" s="3" t="s">
        <v>82</v>
      </c>
      <c r="E50" s="3" t="s">
        <v>137</v>
      </c>
      <c r="F50" s="4">
        <v>1.2</v>
      </c>
      <c r="G50" s="18">
        <v>184</v>
      </c>
      <c r="H50" s="4">
        <v>1.2</v>
      </c>
      <c r="I50" s="20">
        <v>188.6</v>
      </c>
      <c r="J50" s="21"/>
    </row>
    <row r="51" spans="2:10" x14ac:dyDescent="0.3">
      <c r="B51" s="24">
        <v>37</v>
      </c>
      <c r="C51" s="3" t="s">
        <v>85</v>
      </c>
      <c r="D51" s="3" t="s">
        <v>86</v>
      </c>
      <c r="E51" s="3" t="s">
        <v>138</v>
      </c>
      <c r="F51" s="4">
        <v>1.81</v>
      </c>
      <c r="G51" s="18">
        <v>230</v>
      </c>
      <c r="H51" s="4">
        <v>1.81</v>
      </c>
      <c r="I51" s="20">
        <v>229.5</v>
      </c>
      <c r="J51" s="21"/>
    </row>
    <row r="52" spans="2:10" x14ac:dyDescent="0.3">
      <c r="B52" s="24">
        <v>38</v>
      </c>
      <c r="C52" s="3" t="s">
        <v>189</v>
      </c>
      <c r="D52" s="3" t="s">
        <v>140</v>
      </c>
      <c r="E52" s="3" t="s">
        <v>139</v>
      </c>
      <c r="F52" s="4"/>
      <c r="G52" s="18">
        <v>145</v>
      </c>
      <c r="H52" s="4">
        <v>3.0230000000000001</v>
      </c>
      <c r="I52" s="20">
        <v>141.80000000000001</v>
      </c>
      <c r="J52" s="21"/>
    </row>
    <row r="53" spans="2:10" x14ac:dyDescent="0.3">
      <c r="B53" s="24">
        <v>39</v>
      </c>
      <c r="C53" s="3" t="s">
        <v>89</v>
      </c>
      <c r="D53" s="3" t="s">
        <v>90</v>
      </c>
      <c r="E53" s="3" t="s">
        <v>141</v>
      </c>
      <c r="F53" s="4">
        <v>174.375</v>
      </c>
      <c r="G53" s="18">
        <v>4.24</v>
      </c>
      <c r="H53" s="4">
        <v>165.07400000000001</v>
      </c>
      <c r="I53" s="20">
        <v>4.2249999999999996</v>
      </c>
      <c r="J53" s="21"/>
    </row>
    <row r="54" spans="2:10" x14ac:dyDescent="0.3">
      <c r="B54" s="24">
        <v>40</v>
      </c>
      <c r="C54" s="3" t="s">
        <v>91</v>
      </c>
      <c r="D54" s="3" t="s">
        <v>92</v>
      </c>
      <c r="E54" s="3" t="s">
        <v>142</v>
      </c>
      <c r="F54" s="4">
        <v>17.663</v>
      </c>
      <c r="G54" s="18">
        <v>66</v>
      </c>
      <c r="H54" s="4">
        <v>17.663</v>
      </c>
      <c r="I54" s="20">
        <v>65.8</v>
      </c>
      <c r="J54" s="21"/>
    </row>
    <row r="55" spans="2:10" x14ac:dyDescent="0.3">
      <c r="B55" s="24">
        <v>41</v>
      </c>
      <c r="C55" s="3" t="s">
        <v>83</v>
      </c>
      <c r="D55" s="3" t="s">
        <v>84</v>
      </c>
      <c r="E55" s="3" t="s">
        <v>143</v>
      </c>
      <c r="F55" s="4">
        <v>66.989000000000004</v>
      </c>
      <c r="G55" s="18">
        <v>2.2050000000000001</v>
      </c>
      <c r="H55" s="4"/>
      <c r="I55" s="20"/>
      <c r="J55" s="21"/>
    </row>
    <row r="56" spans="2:10" x14ac:dyDescent="0.3">
      <c r="B56" s="25">
        <v>42</v>
      </c>
      <c r="C56" s="14" t="s">
        <v>87</v>
      </c>
      <c r="D56" s="14" t="s">
        <v>88</v>
      </c>
      <c r="E56" s="14" t="s">
        <v>144</v>
      </c>
      <c r="F56" s="15">
        <v>35.243000000000002</v>
      </c>
      <c r="G56" s="19">
        <v>1.94</v>
      </c>
      <c r="H56" s="15"/>
      <c r="I56" s="22"/>
      <c r="J56" s="23"/>
    </row>
  </sheetData>
  <mergeCells count="4">
    <mergeCell ref="F7:G7"/>
    <mergeCell ref="F13:G13"/>
    <mergeCell ref="H13:J13"/>
    <mergeCell ref="H7:L7"/>
  </mergeCells>
  <conditionalFormatting sqref="I9">
    <cfRule type="expression" dxfId="20" priority="4">
      <formula>ABS(I9-$K9)&gt;0.1</formula>
    </cfRule>
  </conditionalFormatting>
  <conditionalFormatting sqref="J9">
    <cfRule type="expression" dxfId="19" priority="3">
      <formula>ABS(J9-$K9)&gt;0.1</formula>
    </cfRule>
  </conditionalFormatting>
  <conditionalFormatting sqref="I10">
    <cfRule type="expression" dxfId="18" priority="2">
      <formula>ABS(I10-$K10)&gt;0.1</formula>
    </cfRule>
  </conditionalFormatting>
  <conditionalFormatting sqref="J10">
    <cfRule type="expression" dxfId="17" priority="1">
      <formula>ABS(J10-$K10)&gt;0.1</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D14E6-CDE5-4518-A0E1-449BFB925486}">
  <dimension ref="B2:V34"/>
  <sheetViews>
    <sheetView showGridLines="0" zoomScaleNormal="100" workbookViewId="0"/>
  </sheetViews>
  <sheetFormatPr defaultColWidth="8.88671875" defaultRowHeight="14.4" x14ac:dyDescent="0.3"/>
  <cols>
    <col min="1" max="2" width="3.33203125" style="31" customWidth="1"/>
    <col min="3" max="3" width="12.88671875" style="31" bestFit="1" customWidth="1"/>
    <col min="4" max="4" width="14.6640625" style="31" bestFit="1" customWidth="1"/>
    <col min="5" max="5" width="14.5546875" style="31" customWidth="1"/>
    <col min="6" max="9" width="11.33203125" style="31" customWidth="1"/>
    <col min="10" max="10" width="12.33203125" style="31" customWidth="1"/>
    <col min="11" max="11" width="15.5546875" style="31" customWidth="1"/>
    <col min="12" max="12" width="11.109375" style="31" customWidth="1"/>
    <col min="13" max="16" width="12.33203125" style="31" customWidth="1"/>
    <col min="17" max="18" width="11.109375" style="31" customWidth="1"/>
    <col min="19" max="16384" width="8.88671875" style="31"/>
  </cols>
  <sheetData>
    <row r="2" spans="2:22" ht="14.4" customHeight="1" x14ac:dyDescent="0.3">
      <c r="C2" s="32" t="s">
        <v>1</v>
      </c>
      <c r="D2" s="33" t="s">
        <v>191</v>
      </c>
      <c r="O2" s="200" t="s">
        <v>255</v>
      </c>
      <c r="P2" s="200"/>
      <c r="Q2" s="200"/>
      <c r="R2" s="200"/>
      <c r="S2" s="200"/>
      <c r="T2" s="200"/>
      <c r="U2" s="200"/>
      <c r="V2" s="200"/>
    </row>
    <row r="3" spans="2:22" x14ac:dyDescent="0.3">
      <c r="C3" s="34" t="s">
        <v>93</v>
      </c>
      <c r="D3" s="35" t="s">
        <v>192</v>
      </c>
      <c r="O3" s="200"/>
      <c r="P3" s="200"/>
      <c r="Q3" s="200"/>
      <c r="R3" s="200"/>
      <c r="S3" s="200"/>
      <c r="T3" s="200"/>
      <c r="U3" s="200"/>
      <c r="V3" s="200"/>
    </row>
    <row r="4" spans="2:22" x14ac:dyDescent="0.3">
      <c r="C4" s="34" t="s">
        <v>2</v>
      </c>
      <c r="D4" s="36">
        <v>43690</v>
      </c>
      <c r="O4" s="200"/>
      <c r="P4" s="200"/>
      <c r="Q4" s="200"/>
      <c r="R4" s="200"/>
      <c r="S4" s="200"/>
      <c r="T4" s="200"/>
      <c r="U4" s="200"/>
      <c r="V4" s="200"/>
    </row>
    <row r="5" spans="2:22" x14ac:dyDescent="0.3">
      <c r="C5" s="34" t="s">
        <v>3</v>
      </c>
      <c r="D5" s="37">
        <v>0.52083333333333337</v>
      </c>
      <c r="O5" s="200"/>
      <c r="P5" s="200"/>
      <c r="Q5" s="200"/>
      <c r="R5" s="200"/>
      <c r="S5" s="200"/>
      <c r="T5" s="200"/>
      <c r="U5" s="200"/>
      <c r="V5" s="200"/>
    </row>
    <row r="6" spans="2:22" x14ac:dyDescent="0.3">
      <c r="D6" s="38"/>
    </row>
    <row r="7" spans="2:22" x14ac:dyDescent="0.3">
      <c r="F7" s="201">
        <f>WORKDAY(H7,-1)</f>
        <v>43689</v>
      </c>
      <c r="G7" s="202"/>
      <c r="H7" s="197">
        <f>$D$4</f>
        <v>43690</v>
      </c>
      <c r="I7" s="198"/>
      <c r="J7" s="198"/>
      <c r="K7" s="198"/>
      <c r="L7" s="199"/>
      <c r="Q7" s="82">
        <v>43690</v>
      </c>
      <c r="R7" s="127">
        <v>43691</v>
      </c>
    </row>
    <row r="8" spans="2:22" ht="29.4" thickBot="1" x14ac:dyDescent="0.35">
      <c r="C8" s="10" t="s">
        <v>0</v>
      </c>
      <c r="D8" s="6" t="s">
        <v>94</v>
      </c>
      <c r="E8" s="6" t="s">
        <v>8</v>
      </c>
      <c r="F8" s="7" t="s">
        <v>98</v>
      </c>
      <c r="G8" s="8" t="s">
        <v>10</v>
      </c>
      <c r="H8" s="7" t="s">
        <v>98</v>
      </c>
      <c r="I8" s="8" t="str">
        <f>"Poziom o " &amp; TEXT($D$5,"gg:mm")</f>
        <v>Poziom o 12:30</v>
      </c>
      <c r="J8" s="8" t="s">
        <v>186</v>
      </c>
      <c r="K8" s="9" t="s">
        <v>99</v>
      </c>
      <c r="L8" s="11" t="s">
        <v>185</v>
      </c>
      <c r="Q8" s="7" t="s">
        <v>10</v>
      </c>
      <c r="R8" s="132" t="s">
        <v>98</v>
      </c>
    </row>
    <row r="9" spans="2:22" x14ac:dyDescent="0.3">
      <c r="C9" s="39" t="s">
        <v>192</v>
      </c>
      <c r="D9" s="34" t="s">
        <v>95</v>
      </c>
      <c r="E9" s="34" t="s">
        <v>195</v>
      </c>
      <c r="F9" s="40">
        <f>SUMPRODUCT(F$15:F$34,G$15:G$34)/G9</f>
        <v>94.051445881700516</v>
      </c>
      <c r="G9" s="41">
        <v>2109.73</v>
      </c>
      <c r="H9" s="40">
        <f>SUMPRODUCT(H$15:H$34,G$15:G$34)/G9</f>
        <v>94.051445881700516</v>
      </c>
      <c r="I9" s="41">
        <f>SUMPRODUCT(H$15:H$34,I$15:I$34)/H9</f>
        <v>2092.5924172558989</v>
      </c>
      <c r="J9" s="41">
        <f>G9*SUMPRODUCT(H$15:H$34,I$15:I$34)/SUMPRODUCT(H$15:H$34,G$15:G$34)</f>
        <v>2092.5924172558989</v>
      </c>
      <c r="K9" s="42">
        <v>2092.59</v>
      </c>
      <c r="L9" s="56">
        <f>K9/G9-1</f>
        <v>-8.1242623463665398E-3</v>
      </c>
      <c r="M9" s="203" t="s">
        <v>254</v>
      </c>
      <c r="N9" s="204"/>
      <c r="O9" s="136"/>
      <c r="P9" s="136"/>
      <c r="Q9" s="133">
        <v>2140.19</v>
      </c>
      <c r="R9" s="68">
        <f>SUMPRODUCT(R$15:R$34,Q$15:Q$34)/Q9</f>
        <v>94.051351782785645</v>
      </c>
    </row>
    <row r="10" spans="2:22" ht="15" thickBot="1" x14ac:dyDescent="0.35">
      <c r="C10" s="43" t="s">
        <v>193</v>
      </c>
      <c r="D10" s="44" t="s">
        <v>100</v>
      </c>
      <c r="E10" s="44" t="s">
        <v>194</v>
      </c>
      <c r="F10" s="45">
        <f>SUMPRODUCT(F$15:F$34,G$15:G$34)/G10</f>
        <v>52.170216207688959</v>
      </c>
      <c r="G10" s="46">
        <v>3803.38</v>
      </c>
      <c r="H10" s="45">
        <f>SUMPRODUCT(H$15:H$34,G$15:G$34)/G10</f>
        <v>52.170216207688959</v>
      </c>
      <c r="I10" s="46">
        <f>(SUMPRODUCT(H$15:H$34,I$15:I$34)+SUMPRODUCT(H$15:H$34,J$15:J$34))/H10</f>
        <v>3802.9858970521</v>
      </c>
      <c r="J10" s="46">
        <f>G10*(SUMPRODUCT(H$15:H$34,I$15:I$34)+SUMPRODUCT(H$15:H$34,J$15:J$34))/SUMPRODUCT(H$15:H$34,G$15:G$34)</f>
        <v>3802.9858970521</v>
      </c>
      <c r="K10" s="57">
        <v>3802.99</v>
      </c>
      <c r="L10" s="58">
        <f>K10/G10-1</f>
        <v>-1.0254037198498267E-4</v>
      </c>
      <c r="M10" s="129" t="s">
        <v>252</v>
      </c>
      <c r="N10" s="130" t="s">
        <v>253</v>
      </c>
      <c r="O10" s="128"/>
      <c r="P10" s="128"/>
      <c r="Q10" s="134">
        <v>3889.48</v>
      </c>
      <c r="R10" s="69">
        <f>SUMPRODUCT(R$15:R$34,Q$15:Q$34)/Q10</f>
        <v>51.751844095354649</v>
      </c>
    </row>
    <row r="11" spans="2:22" x14ac:dyDescent="0.3">
      <c r="K11" s="59" t="s">
        <v>196</v>
      </c>
      <c r="L11" s="60">
        <f>L10-L9</f>
        <v>8.0217219743815571E-3</v>
      </c>
      <c r="M11" s="131">
        <f>SUMPRODUCT(H15:H34,J15:J34)/H10/G10</f>
        <v>8.0194974452581624E-3</v>
      </c>
      <c r="N11" s="90">
        <f>SUMPRODUCT(H15:H34,J15:J34)/SUMPRODUCT(H15:H34,G15:G34)</f>
        <v>8.0194974452581624E-3</v>
      </c>
      <c r="O11" s="101"/>
      <c r="P11" s="101"/>
    </row>
    <row r="12" spans="2:22" x14ac:dyDescent="0.3">
      <c r="K12" s="2"/>
      <c r="L12" s="47"/>
    </row>
    <row r="13" spans="2:22" x14ac:dyDescent="0.3">
      <c r="F13" s="197">
        <f>F7</f>
        <v>43689</v>
      </c>
      <c r="G13" s="199"/>
      <c r="H13" s="197">
        <f>H7</f>
        <v>43690</v>
      </c>
      <c r="I13" s="198"/>
      <c r="J13" s="199"/>
      <c r="Q13" s="82">
        <v>43690</v>
      </c>
      <c r="R13" s="127">
        <v>43691</v>
      </c>
    </row>
    <row r="14" spans="2:22" ht="29.4" thickBot="1" x14ac:dyDescent="0.35">
      <c r="B14" s="10" t="s">
        <v>188</v>
      </c>
      <c r="C14" s="6" t="s">
        <v>7</v>
      </c>
      <c r="D14" s="6" t="s">
        <v>12</v>
      </c>
      <c r="E14" s="6" t="s">
        <v>8</v>
      </c>
      <c r="F14" s="7" t="s">
        <v>9</v>
      </c>
      <c r="G14" s="17" t="s">
        <v>10</v>
      </c>
      <c r="H14" s="7" t="s">
        <v>9</v>
      </c>
      <c r="I14" s="8" t="str">
        <f>"Cena o " &amp; TEXT($D$5,"gg:mm")</f>
        <v>Cena o 12:30</v>
      </c>
      <c r="J14" s="17" t="s">
        <v>11</v>
      </c>
      <c r="Q14" s="132" t="s">
        <v>10</v>
      </c>
      <c r="R14" s="135" t="s">
        <v>9</v>
      </c>
    </row>
    <row r="15" spans="2:22" x14ac:dyDescent="0.3">
      <c r="B15" s="48">
        <v>1</v>
      </c>
      <c r="C15" s="34" t="s">
        <v>197</v>
      </c>
      <c r="D15" s="34" t="s">
        <v>146</v>
      </c>
      <c r="E15" s="34" t="s">
        <v>145</v>
      </c>
      <c r="F15" s="40">
        <v>88.894999999999996</v>
      </c>
      <c r="G15" s="49">
        <v>42.5</v>
      </c>
      <c r="H15" s="40">
        <v>88.894999999999996</v>
      </c>
      <c r="I15" s="50">
        <v>42.18</v>
      </c>
      <c r="J15" s="51"/>
      <c r="Q15" s="68">
        <v>43.32</v>
      </c>
      <c r="R15" s="68">
        <v>88.894999999999996</v>
      </c>
    </row>
    <row r="16" spans="2:22" x14ac:dyDescent="0.3">
      <c r="B16" s="48">
        <v>2</v>
      </c>
      <c r="C16" s="34" t="s">
        <v>198</v>
      </c>
      <c r="D16" s="34" t="s">
        <v>148</v>
      </c>
      <c r="E16" s="34" t="s">
        <v>147</v>
      </c>
      <c r="F16" s="40">
        <v>28.108000000000001</v>
      </c>
      <c r="G16" s="49">
        <v>130.9</v>
      </c>
      <c r="H16" s="40">
        <v>28.108000000000001</v>
      </c>
      <c r="I16" s="50">
        <v>129.6</v>
      </c>
      <c r="J16" s="51"/>
      <c r="Q16" s="68">
        <v>136</v>
      </c>
      <c r="R16" s="68">
        <v>28.108000000000001</v>
      </c>
    </row>
    <row r="17" spans="2:18" x14ac:dyDescent="0.3">
      <c r="B17" s="48">
        <v>3</v>
      </c>
      <c r="C17" s="34" t="s">
        <v>199</v>
      </c>
      <c r="D17" s="34" t="s">
        <v>150</v>
      </c>
      <c r="E17" s="34" t="s">
        <v>149</v>
      </c>
      <c r="F17" s="40">
        <v>67.347999999999999</v>
      </c>
      <c r="G17" s="49">
        <v>220</v>
      </c>
      <c r="H17" s="40">
        <v>67.347999999999999</v>
      </c>
      <c r="I17" s="50">
        <v>222.3</v>
      </c>
      <c r="J17" s="51"/>
      <c r="Q17" s="68">
        <v>224</v>
      </c>
      <c r="R17" s="68">
        <v>67.347999999999999</v>
      </c>
    </row>
    <row r="18" spans="2:18" x14ac:dyDescent="0.3">
      <c r="B18" s="48">
        <v>4</v>
      </c>
      <c r="C18" s="34" t="s">
        <v>200</v>
      </c>
      <c r="D18" s="34" t="s">
        <v>152</v>
      </c>
      <c r="E18" s="34" t="s">
        <v>151</v>
      </c>
      <c r="F18" s="40">
        <v>272.82499999999999</v>
      </c>
      <c r="G18" s="49">
        <v>28.8</v>
      </c>
      <c r="H18" s="40">
        <v>272.82499999999999</v>
      </c>
      <c r="I18" s="50">
        <v>28.12</v>
      </c>
      <c r="J18" s="51"/>
      <c r="Q18" s="68">
        <v>28.28</v>
      </c>
      <c r="R18" s="68">
        <v>272.82499999999999</v>
      </c>
    </row>
    <row r="19" spans="2:18" x14ac:dyDescent="0.3">
      <c r="B19" s="48">
        <v>5</v>
      </c>
      <c r="C19" s="34" t="s">
        <v>201</v>
      </c>
      <c r="D19" s="34" t="s">
        <v>154</v>
      </c>
      <c r="E19" s="34" t="s">
        <v>153</v>
      </c>
      <c r="F19" s="40">
        <v>47.936999999999998</v>
      </c>
      <c r="G19" s="49">
        <v>135.9</v>
      </c>
      <c r="H19" s="40">
        <v>47.936999999999998</v>
      </c>
      <c r="I19" s="50">
        <v>134.4</v>
      </c>
      <c r="J19" s="51"/>
      <c r="Q19" s="68">
        <v>134.30000000000001</v>
      </c>
      <c r="R19" s="68">
        <v>47.936999999999998</v>
      </c>
    </row>
    <row r="20" spans="2:18" x14ac:dyDescent="0.3">
      <c r="B20" s="48">
        <v>6</v>
      </c>
      <c r="C20" s="34" t="s">
        <v>202</v>
      </c>
      <c r="D20" s="34" t="s">
        <v>156</v>
      </c>
      <c r="E20" s="34" t="s">
        <v>155</v>
      </c>
      <c r="F20" s="40">
        <v>52.636000000000003</v>
      </c>
      <c r="G20" s="49">
        <v>33.08</v>
      </c>
      <c r="H20" s="40">
        <v>52.636000000000003</v>
      </c>
      <c r="I20" s="50">
        <v>34.04</v>
      </c>
      <c r="J20" s="51"/>
      <c r="Q20" s="68">
        <v>36.700000000000003</v>
      </c>
      <c r="R20" s="68">
        <v>52.636000000000003</v>
      </c>
    </row>
    <row r="21" spans="2:18" x14ac:dyDescent="0.3">
      <c r="B21" s="48">
        <v>7</v>
      </c>
      <c r="C21" s="34" t="s">
        <v>203</v>
      </c>
      <c r="D21" s="34" t="s">
        <v>158</v>
      </c>
      <c r="E21" s="34" t="s">
        <v>157</v>
      </c>
      <c r="F21" s="40">
        <v>136.41</v>
      </c>
      <c r="G21" s="49">
        <v>79.3</v>
      </c>
      <c r="H21" s="40">
        <v>136.41</v>
      </c>
      <c r="I21" s="50">
        <v>80.06</v>
      </c>
      <c r="J21" s="51"/>
      <c r="Q21" s="68">
        <v>82.88</v>
      </c>
      <c r="R21" s="68">
        <v>136.41</v>
      </c>
    </row>
    <row r="22" spans="2:18" x14ac:dyDescent="0.3">
      <c r="B22" s="48">
        <v>8</v>
      </c>
      <c r="C22" s="34" t="s">
        <v>205</v>
      </c>
      <c r="D22" s="34" t="s">
        <v>160</v>
      </c>
      <c r="E22" s="34" t="s">
        <v>159</v>
      </c>
      <c r="F22" s="40">
        <v>1.306</v>
      </c>
      <c r="G22" s="49">
        <v>7195</v>
      </c>
      <c r="H22" s="40">
        <v>1.306</v>
      </c>
      <c r="I22" s="50">
        <v>7215</v>
      </c>
      <c r="J22" s="51"/>
      <c r="Q22" s="68">
        <v>7355</v>
      </c>
      <c r="R22" s="68">
        <v>1.306</v>
      </c>
    </row>
    <row r="23" spans="2:18" x14ac:dyDescent="0.3">
      <c r="B23" s="48">
        <v>9</v>
      </c>
      <c r="C23" s="34" t="s">
        <v>204</v>
      </c>
      <c r="D23" s="34" t="s">
        <v>162</v>
      </c>
      <c r="E23" s="34" t="s">
        <v>161</v>
      </c>
      <c r="F23" s="40">
        <v>86.543000000000006</v>
      </c>
      <c r="G23" s="49">
        <v>80.86</v>
      </c>
      <c r="H23" s="40">
        <v>86.543000000000006</v>
      </c>
      <c r="I23" s="50">
        <v>79.86</v>
      </c>
      <c r="J23" s="51"/>
      <c r="Q23" s="68">
        <v>83.58</v>
      </c>
      <c r="R23" s="68">
        <v>86.543000000000006</v>
      </c>
    </row>
    <row r="24" spans="2:18" x14ac:dyDescent="0.3">
      <c r="B24" s="48">
        <v>10</v>
      </c>
      <c r="C24" s="34" t="s">
        <v>206</v>
      </c>
      <c r="D24" s="34" t="s">
        <v>164</v>
      </c>
      <c r="E24" s="34" t="s">
        <v>163</v>
      </c>
      <c r="F24" s="40">
        <v>12.984</v>
      </c>
      <c r="G24" s="49">
        <v>312</v>
      </c>
      <c r="H24" s="40">
        <v>12.984</v>
      </c>
      <c r="I24" s="50">
        <v>307.2</v>
      </c>
      <c r="J24" s="51"/>
      <c r="Q24" s="68">
        <v>323</v>
      </c>
      <c r="R24" s="68">
        <v>12.984</v>
      </c>
    </row>
    <row r="25" spans="2:18" x14ac:dyDescent="0.3">
      <c r="B25" s="48">
        <v>11</v>
      </c>
      <c r="C25" s="34" t="s">
        <v>207</v>
      </c>
      <c r="D25" s="34" t="s">
        <v>166</v>
      </c>
      <c r="E25" s="34" t="s">
        <v>165</v>
      </c>
      <c r="F25" s="40">
        <v>647.35699999999997</v>
      </c>
      <c r="G25" s="49">
        <v>6.38</v>
      </c>
      <c r="H25" s="40">
        <v>647.35699999999997</v>
      </c>
      <c r="I25" s="50">
        <v>6.22</v>
      </c>
      <c r="J25" s="51"/>
      <c r="Q25" s="68">
        <v>6.3</v>
      </c>
      <c r="R25" s="68">
        <v>647.35699999999997</v>
      </c>
    </row>
    <row r="26" spans="2:18" x14ac:dyDescent="0.3">
      <c r="B26" s="48">
        <v>12</v>
      </c>
      <c r="C26" s="34" t="s">
        <v>208</v>
      </c>
      <c r="D26" s="34" t="s">
        <v>168</v>
      </c>
      <c r="E26" s="34" t="s">
        <v>167</v>
      </c>
      <c r="F26" s="40">
        <v>159.94900000000001</v>
      </c>
      <c r="G26" s="49">
        <v>97.2</v>
      </c>
      <c r="H26" s="40">
        <v>159.94900000000001</v>
      </c>
      <c r="I26" s="50">
        <v>96.56</v>
      </c>
      <c r="J26" s="51"/>
      <c r="Q26" s="68">
        <v>98.5</v>
      </c>
      <c r="R26" s="68">
        <v>159.94900000000001</v>
      </c>
    </row>
    <row r="27" spans="2:18" x14ac:dyDescent="0.3">
      <c r="B27" s="48">
        <v>13</v>
      </c>
      <c r="C27" s="34" t="s">
        <v>209</v>
      </c>
      <c r="D27" s="34" t="s">
        <v>170</v>
      </c>
      <c r="E27" s="34" t="s">
        <v>169</v>
      </c>
      <c r="F27" s="40">
        <v>796.77599999999995</v>
      </c>
      <c r="G27" s="49">
        <v>8.0220000000000002</v>
      </c>
      <c r="H27" s="40">
        <v>796.77599999999995</v>
      </c>
      <c r="I27" s="50">
        <v>8.1219999999999999</v>
      </c>
      <c r="J27" s="51"/>
      <c r="Q27" s="68">
        <v>8.1519999999999992</v>
      </c>
      <c r="R27" s="68">
        <v>796.77599999999995</v>
      </c>
    </row>
    <row r="28" spans="2:18" x14ac:dyDescent="0.3">
      <c r="B28" s="48">
        <v>14</v>
      </c>
      <c r="C28" s="34" t="s">
        <v>210</v>
      </c>
      <c r="D28" s="34" t="s">
        <v>172</v>
      </c>
      <c r="E28" s="34" t="s">
        <v>171</v>
      </c>
      <c r="F28" s="40">
        <v>1624.6079999999999</v>
      </c>
      <c r="G28" s="49">
        <v>4.806</v>
      </c>
      <c r="H28" s="40">
        <v>1624.6079999999999</v>
      </c>
      <c r="I28" s="50">
        <v>4.774</v>
      </c>
      <c r="J28" s="51"/>
      <c r="Q28" s="68">
        <v>5</v>
      </c>
      <c r="R28" s="68">
        <v>1624.6079999999999</v>
      </c>
    </row>
    <row r="29" spans="2:18" x14ac:dyDescent="0.3">
      <c r="B29" s="48">
        <v>15</v>
      </c>
      <c r="C29" s="34" t="s">
        <v>211</v>
      </c>
      <c r="D29" s="34" t="s">
        <v>174</v>
      </c>
      <c r="E29" s="34" t="s">
        <v>173</v>
      </c>
      <c r="F29" s="40">
        <v>289.04899999999998</v>
      </c>
      <c r="G29" s="49">
        <v>89.28</v>
      </c>
      <c r="H29" s="40">
        <v>289.04899999999998</v>
      </c>
      <c r="I29" s="50">
        <v>90.94</v>
      </c>
      <c r="J29" s="51"/>
      <c r="Q29" s="68">
        <v>93.46</v>
      </c>
      <c r="R29" s="68">
        <v>289.04899999999998</v>
      </c>
    </row>
    <row r="30" spans="2:18" x14ac:dyDescent="0.3">
      <c r="B30" s="48">
        <v>16</v>
      </c>
      <c r="C30" s="34" t="s">
        <v>212</v>
      </c>
      <c r="D30" s="34" t="s">
        <v>176</v>
      </c>
      <c r="E30" s="34" t="s">
        <v>175</v>
      </c>
      <c r="F30" s="40">
        <v>817.476</v>
      </c>
      <c r="G30" s="49">
        <v>38.9</v>
      </c>
      <c r="H30" s="40">
        <v>817.476</v>
      </c>
      <c r="I30" s="50">
        <v>38.78</v>
      </c>
      <c r="J30" s="51"/>
      <c r="Q30" s="68">
        <v>39.42</v>
      </c>
      <c r="R30" s="68">
        <v>817.476</v>
      </c>
    </row>
    <row r="31" spans="2:18" x14ac:dyDescent="0.3">
      <c r="B31" s="48">
        <v>17</v>
      </c>
      <c r="C31" s="34" t="s">
        <v>213</v>
      </c>
      <c r="D31" s="34" t="s">
        <v>178</v>
      </c>
      <c r="E31" s="34" t="s">
        <v>177</v>
      </c>
      <c r="F31" s="40">
        <v>91.486000000000004</v>
      </c>
      <c r="G31" s="49">
        <v>29.96</v>
      </c>
      <c r="H31" s="40">
        <v>91.486000000000004</v>
      </c>
      <c r="I31" s="50">
        <v>29.72</v>
      </c>
      <c r="J31" s="51"/>
      <c r="Q31" s="68">
        <v>30.8</v>
      </c>
      <c r="R31" s="68">
        <v>91.486000000000004</v>
      </c>
    </row>
    <row r="32" spans="2:18" x14ac:dyDescent="0.3">
      <c r="B32" s="48">
        <v>18</v>
      </c>
      <c r="C32" s="34" t="s">
        <v>214</v>
      </c>
      <c r="D32" s="34" t="s">
        <v>180</v>
      </c>
      <c r="E32" s="34" t="s">
        <v>179</v>
      </c>
      <c r="F32" s="40">
        <v>568.30499999999995</v>
      </c>
      <c r="G32" s="49">
        <v>40.19</v>
      </c>
      <c r="H32" s="40">
        <v>568.30499999999995</v>
      </c>
      <c r="I32" s="50">
        <v>37.369999999999997</v>
      </c>
      <c r="J32" s="51">
        <v>2.8</v>
      </c>
      <c r="Q32" s="68">
        <v>38.090000000000003</v>
      </c>
      <c r="R32" s="68">
        <v>568.30499999999995</v>
      </c>
    </row>
    <row r="33" spans="2:18" x14ac:dyDescent="0.3">
      <c r="B33" s="48">
        <v>19</v>
      </c>
      <c r="C33" s="34" t="s">
        <v>215</v>
      </c>
      <c r="D33" s="34" t="s">
        <v>182</v>
      </c>
      <c r="E33" s="34" t="s">
        <v>181</v>
      </c>
      <c r="F33" s="40">
        <v>33.207000000000001</v>
      </c>
      <c r="G33" s="49">
        <v>305</v>
      </c>
      <c r="H33" s="40">
        <v>33.207000000000001</v>
      </c>
      <c r="I33" s="50">
        <v>302.60000000000002</v>
      </c>
      <c r="J33" s="51"/>
      <c r="Q33" s="68">
        <v>310.39999999999998</v>
      </c>
      <c r="R33" s="68">
        <v>33.207000000000001</v>
      </c>
    </row>
    <row r="34" spans="2:18" x14ac:dyDescent="0.3">
      <c r="B34" s="52">
        <v>20</v>
      </c>
      <c r="C34" s="44" t="s">
        <v>216</v>
      </c>
      <c r="D34" s="44" t="s">
        <v>184</v>
      </c>
      <c r="E34" s="44" t="s">
        <v>183</v>
      </c>
      <c r="F34" s="45">
        <v>1043.5899999999999</v>
      </c>
      <c r="G34" s="53">
        <v>1.5149999999999999</v>
      </c>
      <c r="H34" s="45">
        <v>1043.5899999999999</v>
      </c>
      <c r="I34" s="54">
        <v>1.5389999999999999</v>
      </c>
      <c r="J34" s="55"/>
      <c r="Q34" s="69">
        <v>1.573</v>
      </c>
      <c r="R34" s="69">
        <v>1043.5899999999999</v>
      </c>
    </row>
  </sheetData>
  <mergeCells count="6">
    <mergeCell ref="O2:V5"/>
    <mergeCell ref="F7:G7"/>
    <mergeCell ref="F13:G13"/>
    <mergeCell ref="H13:J13"/>
    <mergeCell ref="H7:L7"/>
    <mergeCell ref="M9:N9"/>
  </mergeCells>
  <conditionalFormatting sqref="I9">
    <cfRule type="expression" dxfId="16" priority="4">
      <formula>ABS(I9-$K9)&gt;0.1</formula>
    </cfRule>
  </conditionalFormatting>
  <conditionalFormatting sqref="J9">
    <cfRule type="expression" dxfId="15" priority="3">
      <formula>ABS(J9-$K9)&gt;0.1</formula>
    </cfRule>
  </conditionalFormatting>
  <conditionalFormatting sqref="I10">
    <cfRule type="expression" dxfId="14" priority="2">
      <formula>ABS(I10-$K10)&gt;0.1</formula>
    </cfRule>
  </conditionalFormatting>
  <conditionalFormatting sqref="J10">
    <cfRule type="expression" dxfId="13" priority="1">
      <formula>ABS(J10-$K10)&gt;0.1</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C7329-6521-4477-8AB2-BD7A422976EB}">
  <dimension ref="B2:R36"/>
  <sheetViews>
    <sheetView showGridLines="0" workbookViewId="0"/>
  </sheetViews>
  <sheetFormatPr defaultColWidth="8.88671875" defaultRowHeight="14.4" x14ac:dyDescent="0.3"/>
  <cols>
    <col min="1" max="2" width="3.33203125" style="31" customWidth="1"/>
    <col min="3" max="3" width="12.88671875" style="31" bestFit="1" customWidth="1"/>
    <col min="4" max="4" width="14.6640625" style="31" bestFit="1" customWidth="1"/>
    <col min="5" max="5" width="14.5546875" style="31" customWidth="1"/>
    <col min="6" max="9" width="12.33203125" style="31" customWidth="1"/>
    <col min="10" max="11" width="13.33203125" style="31" customWidth="1"/>
    <col min="12" max="12" width="10.33203125" style="31" customWidth="1"/>
    <col min="13" max="13" width="11.109375" style="31" customWidth="1"/>
    <col min="14" max="15" width="10.33203125" style="31" customWidth="1"/>
    <col min="16" max="16384" width="8.88671875" style="31"/>
  </cols>
  <sheetData>
    <row r="2" spans="2:18" x14ac:dyDescent="0.3">
      <c r="C2" s="32" t="s">
        <v>1</v>
      </c>
      <c r="D2" s="33" t="s">
        <v>244</v>
      </c>
    </row>
    <row r="3" spans="2:18" x14ac:dyDescent="0.3">
      <c r="C3" s="96" t="s">
        <v>218</v>
      </c>
      <c r="D3" s="61" t="s">
        <v>245</v>
      </c>
    </row>
    <row r="4" spans="2:18" x14ac:dyDescent="0.3">
      <c r="C4" s="96" t="s">
        <v>2</v>
      </c>
      <c r="D4" s="36">
        <v>43725</v>
      </c>
    </row>
    <row r="5" spans="2:18" x14ac:dyDescent="0.3">
      <c r="C5" s="96" t="s">
        <v>3</v>
      </c>
      <c r="D5" s="37">
        <v>0.67361111111111116</v>
      </c>
    </row>
    <row r="6" spans="2:18" x14ac:dyDescent="0.3">
      <c r="D6" s="38"/>
      <c r="F6" s="82">
        <f>WORKDAY(I6,-2)</f>
        <v>43721</v>
      </c>
      <c r="G6" s="201">
        <f>WORKDAY(I6,-1)</f>
        <v>43724</v>
      </c>
      <c r="H6" s="221"/>
      <c r="I6" s="201">
        <f>D4</f>
        <v>43725</v>
      </c>
      <c r="J6" s="221"/>
      <c r="L6" s="62"/>
      <c r="M6" s="62"/>
      <c r="N6" s="62"/>
      <c r="O6" s="62"/>
      <c r="P6" s="62"/>
    </row>
    <row r="7" spans="2:18" x14ac:dyDescent="0.3">
      <c r="D7" s="38"/>
      <c r="F7" s="67" t="s">
        <v>224</v>
      </c>
      <c r="G7" s="70" t="s">
        <v>224</v>
      </c>
      <c r="H7" s="71" t="s">
        <v>224</v>
      </c>
      <c r="I7" s="222" t="str">
        <f>"iNAV o " &amp; TEXT($D$5,"gg:mm")</f>
        <v>iNAV o 16:10</v>
      </c>
      <c r="J7" s="223"/>
    </row>
    <row r="8" spans="2:18" ht="28.2" thickBot="1" x14ac:dyDescent="0.35">
      <c r="B8" s="219" t="s">
        <v>218</v>
      </c>
      <c r="C8" s="220"/>
      <c r="D8" s="66" t="s">
        <v>220</v>
      </c>
      <c r="E8" s="72" t="s">
        <v>8</v>
      </c>
      <c r="F8" s="77" t="s">
        <v>227</v>
      </c>
      <c r="G8" s="78" t="s">
        <v>228</v>
      </c>
      <c r="H8" s="79" t="s">
        <v>227</v>
      </c>
      <c r="I8" s="80" t="s">
        <v>225</v>
      </c>
      <c r="J8" s="81" t="s">
        <v>226</v>
      </c>
      <c r="Q8" s="63"/>
      <c r="R8" s="63"/>
    </row>
    <row r="9" spans="2:18" x14ac:dyDescent="0.3">
      <c r="B9" s="206" t="s">
        <v>219</v>
      </c>
      <c r="C9" s="207"/>
      <c r="D9" s="73" t="s">
        <v>193</v>
      </c>
      <c r="E9" s="74" t="s">
        <v>222</v>
      </c>
      <c r="F9" s="68">
        <v>37.664499999999997</v>
      </c>
      <c r="G9" s="40">
        <f>F9*($F$21/$E$21-F15*G15)</f>
        <v>37.954761658913668</v>
      </c>
      <c r="H9" s="49">
        <v>37.9542</v>
      </c>
      <c r="I9" s="40">
        <f>$H9*($G$21/$F$21-F15*H15)</f>
        <v>37.504570206971778</v>
      </c>
      <c r="J9" s="49">
        <f>$H9*($G$20/$F$20+$H$22-F15*H15)</f>
        <v>37.504570206971778</v>
      </c>
    </row>
    <row r="10" spans="2:18" x14ac:dyDescent="0.3">
      <c r="B10" s="208" t="s">
        <v>221</v>
      </c>
      <c r="C10" s="209"/>
      <c r="D10" s="75" t="s">
        <v>193</v>
      </c>
      <c r="E10" s="76" t="s">
        <v>223</v>
      </c>
      <c r="F10" s="69">
        <v>272.601</v>
      </c>
      <c r="G10" s="45">
        <f>F10*($F$21/$E$21-F16*G16)</f>
        <v>274.70068070112973</v>
      </c>
      <c r="H10" s="53">
        <v>274.70209999999997</v>
      </c>
      <c r="I10" s="45">
        <f>$H10*($G$21/$F$21-$H$22*D16-F16*H16)</f>
        <v>271.44611941631484</v>
      </c>
      <c r="J10" s="53">
        <f>$H10*($G$20/$F$20+$H$22*(1-D16)-F16*H16)</f>
        <v>271.44611941631484</v>
      </c>
    </row>
    <row r="11" spans="2:18" x14ac:dyDescent="0.3">
      <c r="D11" s="38"/>
    </row>
    <row r="12" spans="2:18" x14ac:dyDescent="0.3">
      <c r="D12" s="38"/>
    </row>
    <row r="13" spans="2:18" x14ac:dyDescent="0.3">
      <c r="D13" s="38"/>
      <c r="F13" s="120"/>
      <c r="G13" s="91">
        <f>G6</f>
        <v>43724</v>
      </c>
      <c r="H13" s="91">
        <f>I6</f>
        <v>43725</v>
      </c>
    </row>
    <row r="14" spans="2:18" ht="29.4" customHeight="1" thickBot="1" x14ac:dyDescent="0.35">
      <c r="B14" s="219" t="s">
        <v>218</v>
      </c>
      <c r="C14" s="220"/>
      <c r="D14" s="8" t="s">
        <v>234</v>
      </c>
      <c r="E14" s="66" t="s">
        <v>233</v>
      </c>
      <c r="F14" s="17" t="s">
        <v>246</v>
      </c>
      <c r="G14" s="121" t="s">
        <v>235</v>
      </c>
      <c r="H14" s="121" t="s">
        <v>235</v>
      </c>
      <c r="I14" s="2"/>
      <c r="J14" s="2"/>
      <c r="K14" s="2"/>
      <c r="L14" s="64"/>
      <c r="M14" s="64"/>
    </row>
    <row r="15" spans="2:18" x14ac:dyDescent="0.3">
      <c r="B15" s="206" t="s">
        <v>219</v>
      </c>
      <c r="C15" s="207"/>
      <c r="D15" s="85">
        <v>0</v>
      </c>
      <c r="E15" s="122">
        <v>4.0000000000000001E-3</v>
      </c>
      <c r="F15" s="83">
        <f>E15/365</f>
        <v>1.0958904109589042E-5</v>
      </c>
      <c r="G15" s="93">
        <f>G13-F6</f>
        <v>3</v>
      </c>
      <c r="H15" s="93">
        <f>H13-G6</f>
        <v>1</v>
      </c>
    </row>
    <row r="16" spans="2:18" x14ac:dyDescent="0.3">
      <c r="B16" s="208" t="s">
        <v>221</v>
      </c>
      <c r="C16" s="209"/>
      <c r="D16" s="86">
        <v>0.15</v>
      </c>
      <c r="E16" s="123">
        <v>4.4999999999999997E-3</v>
      </c>
      <c r="F16" s="84">
        <f>E16/365</f>
        <v>1.2328767123287671E-5</v>
      </c>
      <c r="G16" s="94">
        <f>G13-F6</f>
        <v>3</v>
      </c>
      <c r="H16" s="94">
        <f>H13-G6</f>
        <v>1</v>
      </c>
    </row>
    <row r="17" spans="2:13" x14ac:dyDescent="0.3">
      <c r="D17" s="38"/>
    </row>
    <row r="18" spans="2:13" x14ac:dyDescent="0.3">
      <c r="D18" s="38"/>
      <c r="E18" s="91">
        <f>F6</f>
        <v>43721</v>
      </c>
      <c r="F18" s="91">
        <f>G6</f>
        <v>43724</v>
      </c>
      <c r="G18" s="198">
        <f>I6</f>
        <v>43725</v>
      </c>
      <c r="H18" s="199"/>
      <c r="I18" s="106"/>
    </row>
    <row r="19" spans="2:13" ht="15" thickBot="1" x14ac:dyDescent="0.35">
      <c r="B19" s="219" t="s">
        <v>0</v>
      </c>
      <c r="C19" s="220"/>
      <c r="D19" s="72" t="s">
        <v>94</v>
      </c>
      <c r="E19" s="92" t="s">
        <v>236</v>
      </c>
      <c r="F19" s="92" t="s">
        <v>236</v>
      </c>
      <c r="G19" s="87" t="str">
        <f>"Na "&amp;TEXT(D5,"gg:mm")</f>
        <v>Na 16:10</v>
      </c>
      <c r="H19" s="88" t="s">
        <v>185</v>
      </c>
      <c r="I19" s="96"/>
    </row>
    <row r="20" spans="2:13" x14ac:dyDescent="0.3">
      <c r="B20" s="206" t="s">
        <v>192</v>
      </c>
      <c r="C20" s="207"/>
      <c r="D20" s="74" t="s">
        <v>95</v>
      </c>
      <c r="E20" s="93">
        <v>2200.9499999999998</v>
      </c>
      <c r="F20" s="93">
        <v>2217.84</v>
      </c>
      <c r="G20" s="41">
        <v>2191.52</v>
      </c>
      <c r="H20" s="89">
        <f>G20/F20-1</f>
        <v>-1.186740251776508E-2</v>
      </c>
      <c r="I20" s="101"/>
    </row>
    <row r="21" spans="2:13" x14ac:dyDescent="0.3">
      <c r="B21" s="208" t="s">
        <v>193</v>
      </c>
      <c r="C21" s="209"/>
      <c r="D21" s="76" t="s">
        <v>100</v>
      </c>
      <c r="E21" s="94">
        <v>4006.78</v>
      </c>
      <c r="F21" s="94">
        <v>4037.79</v>
      </c>
      <c r="G21" s="46">
        <v>3990</v>
      </c>
      <c r="H21" s="90">
        <f>G21/F21-1</f>
        <v>-1.183568239061461E-2</v>
      </c>
      <c r="I21" s="101"/>
    </row>
    <row r="22" spans="2:13" x14ac:dyDescent="0.3">
      <c r="F22" s="210" t="s">
        <v>196</v>
      </c>
      <c r="G22" s="211"/>
      <c r="H22" s="95">
        <f>H21-H20</f>
        <v>3.1720127150469679E-5</v>
      </c>
      <c r="I22" s="101"/>
    </row>
    <row r="25" spans="2:13" x14ac:dyDescent="0.3">
      <c r="B25" s="212" t="s">
        <v>239</v>
      </c>
      <c r="C25" s="212"/>
      <c r="D25" s="213"/>
      <c r="E25" s="214" t="s">
        <v>241</v>
      </c>
      <c r="F25" s="215"/>
      <c r="G25" s="215"/>
      <c r="H25" s="215"/>
      <c r="I25" s="215"/>
      <c r="J25" s="216"/>
      <c r="K25" s="217" t="s">
        <v>238</v>
      </c>
      <c r="L25" s="217"/>
      <c r="M25" s="218"/>
    </row>
    <row r="26" spans="2:13" ht="29.4" thickBot="1" x14ac:dyDescent="0.35">
      <c r="B26" s="219" t="s">
        <v>218</v>
      </c>
      <c r="C26" s="220"/>
      <c r="D26" s="117" t="str">
        <f>I7</f>
        <v>iNAV o 16:10</v>
      </c>
      <c r="E26" s="78" t="s">
        <v>230</v>
      </c>
      <c r="F26" s="97" t="s">
        <v>237</v>
      </c>
      <c r="G26" s="97" t="s">
        <v>229</v>
      </c>
      <c r="H26" s="112" t="s">
        <v>232</v>
      </c>
      <c r="I26" s="107" t="s">
        <v>231</v>
      </c>
      <c r="J26" s="79" t="s">
        <v>240</v>
      </c>
      <c r="K26" s="97" t="s">
        <v>229</v>
      </c>
      <c r="L26" s="112" t="s">
        <v>232</v>
      </c>
      <c r="M26" s="79" t="s">
        <v>231</v>
      </c>
    </row>
    <row r="27" spans="2:13" x14ac:dyDescent="0.3">
      <c r="B27" s="206" t="s">
        <v>219</v>
      </c>
      <c r="C27" s="207"/>
      <c r="D27" s="118">
        <f>I9</f>
        <v>37.504570206971778</v>
      </c>
      <c r="E27" s="98">
        <v>6000</v>
      </c>
      <c r="F27" s="99">
        <f>E27*H27/1000</f>
        <v>225.15</v>
      </c>
      <c r="G27" s="100">
        <v>37.494999999999997</v>
      </c>
      <c r="H27" s="113">
        <f>AVERAGE(G27,I27)</f>
        <v>37.524999999999999</v>
      </c>
      <c r="I27" s="108">
        <v>37.555</v>
      </c>
      <c r="J27" s="110">
        <f>(I27-G27)/H27</f>
        <v>1.598934043970747E-3</v>
      </c>
      <c r="K27" s="101">
        <f t="shared" ref="K27:M28" si="0">G27/$D27-1</f>
        <v>-2.5517442058309303E-4</v>
      </c>
      <c r="L27" s="115">
        <f t="shared" si="0"/>
        <v>5.4472809354910723E-4</v>
      </c>
      <c r="M27" s="89">
        <f t="shared" si="0"/>
        <v>1.3446306076811965E-3</v>
      </c>
    </row>
    <row r="28" spans="2:13" x14ac:dyDescent="0.3">
      <c r="B28" s="208" t="s">
        <v>221</v>
      </c>
      <c r="C28" s="209"/>
      <c r="D28" s="119">
        <f>I10</f>
        <v>271.44611941631484</v>
      </c>
      <c r="E28" s="102">
        <v>1500</v>
      </c>
      <c r="F28" s="103">
        <f>E28*H28/1000</f>
        <v>407.13749999999999</v>
      </c>
      <c r="G28" s="104">
        <v>270.55</v>
      </c>
      <c r="H28" s="114">
        <f>AVERAGE(G28,I28)</f>
        <v>271.42500000000001</v>
      </c>
      <c r="I28" s="109">
        <v>272.3</v>
      </c>
      <c r="J28" s="111">
        <f>(I28-G28)/H28</f>
        <v>6.4474532559638939E-3</v>
      </c>
      <c r="K28" s="105">
        <f t="shared" si="0"/>
        <v>-3.3012791571370714E-3</v>
      </c>
      <c r="L28" s="116">
        <f t="shared" si="0"/>
        <v>-7.7803345873039831E-5</v>
      </c>
      <c r="M28" s="90">
        <f t="shared" si="0"/>
        <v>3.1456724653911028E-3</v>
      </c>
    </row>
    <row r="30" spans="2:13" x14ac:dyDescent="0.3">
      <c r="B30" s="212" t="s">
        <v>251</v>
      </c>
      <c r="C30" s="212"/>
      <c r="D30" s="213"/>
    </row>
    <row r="31" spans="2:13" x14ac:dyDescent="0.3">
      <c r="B31" s="124" t="s">
        <v>243</v>
      </c>
    </row>
    <row r="32" spans="2:13" ht="50.4" customHeight="1" x14ac:dyDescent="0.3">
      <c r="B32" s="205" t="s">
        <v>250</v>
      </c>
      <c r="C32" s="205"/>
      <c r="D32" s="205"/>
      <c r="E32" s="205"/>
      <c r="F32" s="205"/>
      <c r="G32" s="205"/>
      <c r="H32" s="205"/>
      <c r="I32" s="205"/>
      <c r="J32" s="205"/>
      <c r="K32" s="205"/>
      <c r="L32" s="205"/>
      <c r="M32" s="205"/>
    </row>
    <row r="33" spans="2:13" ht="50.4" customHeight="1" x14ac:dyDescent="0.3">
      <c r="B33" s="205"/>
      <c r="C33" s="205"/>
      <c r="D33" s="205"/>
      <c r="E33" s="205"/>
      <c r="F33" s="205"/>
      <c r="G33" s="205"/>
      <c r="H33" s="205"/>
      <c r="I33" s="205"/>
      <c r="J33" s="205"/>
      <c r="K33" s="205"/>
      <c r="L33" s="205"/>
      <c r="M33" s="205"/>
    </row>
    <row r="34" spans="2:13" x14ac:dyDescent="0.3">
      <c r="B34" s="124" t="s">
        <v>242</v>
      </c>
    </row>
    <row r="35" spans="2:13" ht="57.6" customHeight="1" x14ac:dyDescent="0.3">
      <c r="B35" s="205" t="s">
        <v>247</v>
      </c>
      <c r="C35" s="205"/>
      <c r="D35" s="205"/>
      <c r="E35" s="205"/>
      <c r="F35" s="205"/>
      <c r="G35" s="205"/>
      <c r="H35" s="205"/>
      <c r="I35" s="205"/>
      <c r="J35" s="205"/>
      <c r="K35" s="205"/>
      <c r="L35" s="205"/>
      <c r="M35" s="205"/>
    </row>
    <row r="36" spans="2:13" ht="57.6" customHeight="1" x14ac:dyDescent="0.3">
      <c r="B36" s="205"/>
      <c r="C36" s="205"/>
      <c r="D36" s="205"/>
      <c r="E36" s="205"/>
      <c r="F36" s="205"/>
      <c r="G36" s="205"/>
      <c r="H36" s="205"/>
      <c r="I36" s="205"/>
      <c r="J36" s="205"/>
      <c r="K36" s="205"/>
      <c r="L36" s="205"/>
      <c r="M36" s="205"/>
    </row>
  </sheetData>
  <mergeCells count="23">
    <mergeCell ref="B10:C10"/>
    <mergeCell ref="G6:H6"/>
    <mergeCell ref="I6:J6"/>
    <mergeCell ref="I7:J7"/>
    <mergeCell ref="B8:C8"/>
    <mergeCell ref="B9:C9"/>
    <mergeCell ref="B14:C14"/>
    <mergeCell ref="B15:C15"/>
    <mergeCell ref="B16:C16"/>
    <mergeCell ref="G18:H18"/>
    <mergeCell ref="B19:C19"/>
    <mergeCell ref="B35:M36"/>
    <mergeCell ref="B20:C20"/>
    <mergeCell ref="B21:C21"/>
    <mergeCell ref="F22:G22"/>
    <mergeCell ref="B25:D25"/>
    <mergeCell ref="E25:J25"/>
    <mergeCell ref="K25:M25"/>
    <mergeCell ref="B26:C26"/>
    <mergeCell ref="B27:C27"/>
    <mergeCell ref="B28:C28"/>
    <mergeCell ref="B30:D30"/>
    <mergeCell ref="B32:M33"/>
  </mergeCells>
  <conditionalFormatting sqref="K27:K28">
    <cfRule type="cellIs" dxfId="12" priority="3" operator="lessThan">
      <formula>0</formula>
    </cfRule>
    <cfRule type="cellIs" dxfId="11" priority="4" operator="greaterThan">
      <formula>0</formula>
    </cfRule>
  </conditionalFormatting>
  <conditionalFormatting sqref="M27:M28">
    <cfRule type="cellIs" dxfId="10" priority="1" operator="greaterThan">
      <formula>0</formula>
    </cfRule>
    <cfRule type="cellIs" dxfId="9" priority="2"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DC0F-377B-4448-BEF4-EDC30ADC7871}">
  <dimension ref="B2:R36"/>
  <sheetViews>
    <sheetView showGridLines="0" workbookViewId="0"/>
  </sheetViews>
  <sheetFormatPr defaultColWidth="8.88671875" defaultRowHeight="14.4" x14ac:dyDescent="0.3"/>
  <cols>
    <col min="1" max="2" width="3.33203125" style="31" customWidth="1"/>
    <col min="3" max="3" width="12.88671875" style="31" bestFit="1" customWidth="1"/>
    <col min="4" max="4" width="14.6640625" style="31" bestFit="1" customWidth="1"/>
    <col min="5" max="5" width="14.5546875" style="31" customWidth="1"/>
    <col min="6" max="9" width="12.33203125" style="31" customWidth="1"/>
    <col min="10" max="11" width="13.33203125" style="31" customWidth="1"/>
    <col min="12" max="12" width="10.33203125" style="31" customWidth="1"/>
    <col min="13" max="13" width="11.109375" style="31" customWidth="1"/>
    <col min="14" max="15" width="10.33203125" style="31" customWidth="1"/>
    <col min="16" max="16384" width="8.88671875" style="31"/>
  </cols>
  <sheetData>
    <row r="2" spans="2:18" x14ac:dyDescent="0.3">
      <c r="C2" s="32" t="s">
        <v>1</v>
      </c>
      <c r="D2" s="33" t="s">
        <v>217</v>
      </c>
    </row>
    <row r="3" spans="2:18" x14ac:dyDescent="0.3">
      <c r="C3" s="34" t="s">
        <v>218</v>
      </c>
      <c r="D3" s="61" t="s">
        <v>245</v>
      </c>
    </row>
    <row r="4" spans="2:18" x14ac:dyDescent="0.3">
      <c r="C4" s="34" t="s">
        <v>2</v>
      </c>
      <c r="D4" s="36">
        <f>Ind_z_dyw!D4</f>
        <v>43690</v>
      </c>
    </row>
    <row r="5" spans="2:18" x14ac:dyDescent="0.3">
      <c r="C5" s="34" t="s">
        <v>3</v>
      </c>
      <c r="D5" s="37">
        <f>Ind_z_dyw!D5</f>
        <v>0.52083333333333337</v>
      </c>
    </row>
    <row r="6" spans="2:18" x14ac:dyDescent="0.3">
      <c r="D6" s="38"/>
      <c r="F6" s="82">
        <f>WORKDAY(I6,-2)</f>
        <v>43686</v>
      </c>
      <c r="G6" s="201">
        <f>WORKDAY(I6,-1)</f>
        <v>43689</v>
      </c>
      <c r="H6" s="221"/>
      <c r="I6" s="201">
        <f>D4</f>
        <v>43690</v>
      </c>
      <c r="J6" s="221"/>
      <c r="L6" s="62"/>
      <c r="M6" s="62"/>
      <c r="N6" s="62"/>
      <c r="O6" s="62"/>
      <c r="P6" s="62"/>
    </row>
    <row r="7" spans="2:18" x14ac:dyDescent="0.3">
      <c r="D7" s="38"/>
      <c r="F7" s="67" t="s">
        <v>224</v>
      </c>
      <c r="G7" s="70" t="s">
        <v>224</v>
      </c>
      <c r="H7" s="71" t="s">
        <v>224</v>
      </c>
      <c r="I7" s="222" t="str">
        <f>"iNAV o " &amp; TEXT($D$5,"gg:mm")</f>
        <v>iNAV o 12:30</v>
      </c>
      <c r="J7" s="223"/>
    </row>
    <row r="8" spans="2:18" ht="28.2" thickBot="1" x14ac:dyDescent="0.35">
      <c r="B8" s="219" t="s">
        <v>218</v>
      </c>
      <c r="C8" s="220"/>
      <c r="D8" s="66" t="s">
        <v>220</v>
      </c>
      <c r="E8" s="72" t="s">
        <v>8</v>
      </c>
      <c r="F8" s="77" t="s">
        <v>227</v>
      </c>
      <c r="G8" s="78" t="s">
        <v>228</v>
      </c>
      <c r="H8" s="79" t="s">
        <v>227</v>
      </c>
      <c r="I8" s="80" t="s">
        <v>225</v>
      </c>
      <c r="J8" s="81" t="s">
        <v>226</v>
      </c>
      <c r="Q8" s="63"/>
      <c r="R8" s="63"/>
    </row>
    <row r="9" spans="2:18" x14ac:dyDescent="0.3">
      <c r="B9" s="206" t="s">
        <v>219</v>
      </c>
      <c r="C9" s="207"/>
      <c r="D9" s="73" t="s">
        <v>193</v>
      </c>
      <c r="E9" s="74" t="s">
        <v>222</v>
      </c>
      <c r="F9" s="68">
        <v>36.071199999999997</v>
      </c>
      <c r="G9" s="40">
        <f>F9*($F$21/$E$21-F15*G15)</f>
        <v>35.766820483985455</v>
      </c>
      <c r="H9" s="49">
        <v>35.7652</v>
      </c>
      <c r="I9" s="40">
        <f>$H9*($G$21/$F$21-F15*H15)</f>
        <v>35.761140675690619</v>
      </c>
      <c r="J9" s="49">
        <f>$H9*($G$20/$F$20+$H$22-F15*H15)</f>
        <v>35.761140675690619</v>
      </c>
    </row>
    <row r="10" spans="2:18" x14ac:dyDescent="0.3">
      <c r="B10" s="208" t="s">
        <v>221</v>
      </c>
      <c r="C10" s="209"/>
      <c r="D10" s="75" t="s">
        <v>193</v>
      </c>
      <c r="E10" s="76" t="s">
        <v>223</v>
      </c>
      <c r="F10" s="69">
        <v>261.81189999999998</v>
      </c>
      <c r="G10" s="45">
        <f>F10*($F$21/$E$21-F16*G16)</f>
        <v>259.60157736501503</v>
      </c>
      <c r="H10" s="53">
        <v>259.59960000000001</v>
      </c>
      <c r="I10" s="45">
        <f>$H10*($G$21/$F$21-$H$22*D16-F16*H16)</f>
        <v>259.25741464505609</v>
      </c>
      <c r="J10" s="53">
        <f>$H10*($G$20/$F$20+$H$22*(1-D16)-F16*H16)</f>
        <v>259.25741464505609</v>
      </c>
    </row>
    <row r="11" spans="2:18" x14ac:dyDescent="0.3">
      <c r="D11" s="38"/>
    </row>
    <row r="12" spans="2:18" x14ac:dyDescent="0.3">
      <c r="D12" s="38"/>
    </row>
    <row r="13" spans="2:18" x14ac:dyDescent="0.3">
      <c r="D13" s="38"/>
      <c r="F13" s="120"/>
      <c r="G13" s="91">
        <f>G6</f>
        <v>43689</v>
      </c>
      <c r="H13" s="91">
        <f>I6</f>
        <v>43690</v>
      </c>
    </row>
    <row r="14" spans="2:18" ht="29.4" customHeight="1" thickBot="1" x14ac:dyDescent="0.35">
      <c r="B14" s="219" t="s">
        <v>218</v>
      </c>
      <c r="C14" s="220"/>
      <c r="D14" s="8" t="s">
        <v>234</v>
      </c>
      <c r="E14" s="66" t="s">
        <v>233</v>
      </c>
      <c r="F14" s="17" t="s">
        <v>246</v>
      </c>
      <c r="G14" s="121" t="s">
        <v>235</v>
      </c>
      <c r="H14" s="121" t="s">
        <v>235</v>
      </c>
      <c r="I14" s="2"/>
      <c r="J14" s="2"/>
      <c r="K14" s="2"/>
      <c r="L14" s="64"/>
      <c r="M14" s="64"/>
    </row>
    <row r="15" spans="2:18" x14ac:dyDescent="0.3">
      <c r="B15" s="206" t="s">
        <v>219</v>
      </c>
      <c r="C15" s="207"/>
      <c r="D15" s="85">
        <v>0</v>
      </c>
      <c r="E15" s="122">
        <v>4.0000000000000001E-3</v>
      </c>
      <c r="F15" s="83">
        <f>E15/365</f>
        <v>1.0958904109589042E-5</v>
      </c>
      <c r="G15" s="93">
        <f>G13-F6</f>
        <v>3</v>
      </c>
      <c r="H15" s="93">
        <f>H13-G6</f>
        <v>1</v>
      </c>
    </row>
    <row r="16" spans="2:18" x14ac:dyDescent="0.3">
      <c r="B16" s="208" t="s">
        <v>221</v>
      </c>
      <c r="C16" s="209"/>
      <c r="D16" s="86">
        <v>0.15</v>
      </c>
      <c r="E16" s="123">
        <v>4.4999999999999997E-3</v>
      </c>
      <c r="F16" s="84">
        <f>E16/365</f>
        <v>1.2328767123287671E-5</v>
      </c>
      <c r="G16" s="94">
        <f>G13-F6</f>
        <v>3</v>
      </c>
      <c r="H16" s="94">
        <f>H13-G6</f>
        <v>1</v>
      </c>
    </row>
    <row r="17" spans="2:13" x14ac:dyDescent="0.3">
      <c r="D17" s="38"/>
    </row>
    <row r="18" spans="2:13" x14ac:dyDescent="0.3">
      <c r="D18" s="38"/>
      <c r="E18" s="91">
        <f>F6</f>
        <v>43686</v>
      </c>
      <c r="F18" s="91">
        <f>G6</f>
        <v>43689</v>
      </c>
      <c r="G18" s="198">
        <f>I6</f>
        <v>43690</v>
      </c>
      <c r="H18" s="199"/>
      <c r="I18" s="106"/>
    </row>
    <row r="19" spans="2:13" ht="15" thickBot="1" x14ac:dyDescent="0.35">
      <c r="B19" s="219" t="s">
        <v>0</v>
      </c>
      <c r="C19" s="220"/>
      <c r="D19" s="72" t="s">
        <v>94</v>
      </c>
      <c r="E19" s="92" t="s">
        <v>236</v>
      </c>
      <c r="F19" s="92" t="s">
        <v>236</v>
      </c>
      <c r="G19" s="87" t="str">
        <f>"Na "&amp;TEXT(D5,"gg:mm")</f>
        <v>Na 12:30</v>
      </c>
      <c r="H19" s="88" t="s">
        <v>185</v>
      </c>
      <c r="I19" s="65"/>
    </row>
    <row r="20" spans="2:13" x14ac:dyDescent="0.3">
      <c r="B20" s="206" t="s">
        <v>192</v>
      </c>
      <c r="C20" s="207"/>
      <c r="D20" s="74" t="s">
        <v>95</v>
      </c>
      <c r="E20" s="93">
        <v>2127.61</v>
      </c>
      <c r="F20" s="93">
        <v>2109.73</v>
      </c>
      <c r="G20" s="41">
        <f>Ind_z_dyw!K9</f>
        <v>2092.59</v>
      </c>
      <c r="H20" s="89">
        <f>G20/F20-1</f>
        <v>-8.1242623463665398E-3</v>
      </c>
      <c r="I20" s="101"/>
    </row>
    <row r="21" spans="2:13" x14ac:dyDescent="0.3">
      <c r="B21" s="208" t="s">
        <v>193</v>
      </c>
      <c r="C21" s="209"/>
      <c r="D21" s="76" t="s">
        <v>100</v>
      </c>
      <c r="E21" s="94">
        <v>3835.62</v>
      </c>
      <c r="F21" s="94">
        <v>3803.38</v>
      </c>
      <c r="G21" s="46">
        <f>Ind_z_dyw!K10</f>
        <v>3802.99</v>
      </c>
      <c r="H21" s="90">
        <f>G21/F21-1</f>
        <v>-1.0254037198498267E-4</v>
      </c>
      <c r="I21" s="101"/>
    </row>
    <row r="22" spans="2:13" x14ac:dyDescent="0.3">
      <c r="F22" s="210" t="s">
        <v>196</v>
      </c>
      <c r="G22" s="211"/>
      <c r="H22" s="95">
        <f>H21-H20</f>
        <v>8.0217219743815571E-3</v>
      </c>
      <c r="I22" s="101"/>
    </row>
    <row r="25" spans="2:13" x14ac:dyDescent="0.3">
      <c r="B25" s="212" t="s">
        <v>239</v>
      </c>
      <c r="C25" s="212"/>
      <c r="D25" s="213"/>
      <c r="E25" s="214" t="s">
        <v>241</v>
      </c>
      <c r="F25" s="215"/>
      <c r="G25" s="215"/>
      <c r="H25" s="215"/>
      <c r="I25" s="215"/>
      <c r="J25" s="216"/>
      <c r="K25" s="217" t="s">
        <v>238</v>
      </c>
      <c r="L25" s="217"/>
      <c r="M25" s="218"/>
    </row>
    <row r="26" spans="2:13" ht="29.4" thickBot="1" x14ac:dyDescent="0.35">
      <c r="B26" s="219" t="s">
        <v>218</v>
      </c>
      <c r="C26" s="220"/>
      <c r="D26" s="117" t="str">
        <f>I7</f>
        <v>iNAV o 12:30</v>
      </c>
      <c r="E26" s="78" t="s">
        <v>230</v>
      </c>
      <c r="F26" s="97" t="s">
        <v>237</v>
      </c>
      <c r="G26" s="97" t="s">
        <v>229</v>
      </c>
      <c r="H26" s="112" t="s">
        <v>232</v>
      </c>
      <c r="I26" s="107" t="s">
        <v>231</v>
      </c>
      <c r="J26" s="79" t="s">
        <v>240</v>
      </c>
      <c r="K26" s="97" t="s">
        <v>229</v>
      </c>
      <c r="L26" s="112" t="s">
        <v>232</v>
      </c>
      <c r="M26" s="79" t="s">
        <v>231</v>
      </c>
    </row>
    <row r="27" spans="2:13" x14ac:dyDescent="0.3">
      <c r="B27" s="206" t="s">
        <v>219</v>
      </c>
      <c r="C27" s="207"/>
      <c r="D27" s="118">
        <f>I9</f>
        <v>35.761140675690619</v>
      </c>
      <c r="E27" s="98">
        <v>6000</v>
      </c>
      <c r="F27" s="99">
        <f>E27*H27/1000</f>
        <v>214.95000000000002</v>
      </c>
      <c r="G27" s="100">
        <v>35.795000000000002</v>
      </c>
      <c r="H27" s="113">
        <f>AVERAGE(G27,I27)</f>
        <v>35.825000000000003</v>
      </c>
      <c r="I27" s="108">
        <v>35.854999999999997</v>
      </c>
      <c r="J27" s="110">
        <f>(I27-G27)/H27</f>
        <v>1.674808094905657E-3</v>
      </c>
      <c r="K27" s="101">
        <f t="shared" ref="K27:M28" si="0">G27/$D27-1</f>
        <v>9.4681891208248103E-4</v>
      </c>
      <c r="L27" s="115">
        <f t="shared" si="0"/>
        <v>1.7857183272902422E-3</v>
      </c>
      <c r="M27" s="89">
        <f t="shared" si="0"/>
        <v>2.6246177424977812E-3</v>
      </c>
    </row>
    <row r="28" spans="2:13" x14ac:dyDescent="0.3">
      <c r="B28" s="208" t="s">
        <v>221</v>
      </c>
      <c r="C28" s="209"/>
      <c r="D28" s="119">
        <f>I10</f>
        <v>259.25741464505609</v>
      </c>
      <c r="E28" s="102">
        <v>1500</v>
      </c>
      <c r="F28" s="103">
        <f>E28*H28/1000</f>
        <v>388.65000000000003</v>
      </c>
      <c r="G28" s="104">
        <v>258.3</v>
      </c>
      <c r="H28" s="114">
        <f>AVERAGE(G28,I28)</f>
        <v>259.10000000000002</v>
      </c>
      <c r="I28" s="109">
        <v>259.89999999999998</v>
      </c>
      <c r="J28" s="111">
        <f>(I28-G28)/H28</f>
        <v>6.1752219220376908E-3</v>
      </c>
      <c r="K28" s="105">
        <f t="shared" si="0"/>
        <v>-3.6929113343464604E-3</v>
      </c>
      <c r="L28" s="116">
        <f t="shared" si="0"/>
        <v>-6.0717509380237011E-4</v>
      </c>
      <c r="M28" s="90">
        <f t="shared" si="0"/>
        <v>2.4785611467414981E-3</v>
      </c>
    </row>
    <row r="30" spans="2:13" x14ac:dyDescent="0.3">
      <c r="B30" s="212" t="s">
        <v>251</v>
      </c>
      <c r="C30" s="212"/>
      <c r="D30" s="213"/>
    </row>
    <row r="31" spans="2:13" x14ac:dyDescent="0.3">
      <c r="B31" s="124" t="s">
        <v>243</v>
      </c>
    </row>
    <row r="32" spans="2:13" ht="50.4" customHeight="1" x14ac:dyDescent="0.3">
      <c r="B32" s="205" t="s">
        <v>249</v>
      </c>
      <c r="C32" s="205"/>
      <c r="D32" s="205"/>
      <c r="E32" s="205"/>
      <c r="F32" s="205"/>
      <c r="G32" s="205"/>
      <c r="H32" s="205"/>
      <c r="I32" s="205"/>
      <c r="J32" s="205"/>
      <c r="K32" s="205"/>
      <c r="L32" s="205"/>
      <c r="M32" s="205"/>
    </row>
    <row r="33" spans="2:13" ht="50.4" customHeight="1" x14ac:dyDescent="0.3">
      <c r="B33" s="205"/>
      <c r="C33" s="205"/>
      <c r="D33" s="205"/>
      <c r="E33" s="205"/>
      <c r="F33" s="205"/>
      <c r="G33" s="205"/>
      <c r="H33" s="205"/>
      <c r="I33" s="205"/>
      <c r="J33" s="205"/>
      <c r="K33" s="205"/>
      <c r="L33" s="205"/>
      <c r="M33" s="205"/>
    </row>
    <row r="34" spans="2:13" x14ac:dyDescent="0.3">
      <c r="B34" s="124" t="s">
        <v>242</v>
      </c>
    </row>
    <row r="35" spans="2:13" ht="57.6" customHeight="1" x14ac:dyDescent="0.3">
      <c r="B35" s="205" t="s">
        <v>248</v>
      </c>
      <c r="C35" s="205"/>
      <c r="D35" s="205"/>
      <c r="E35" s="205"/>
      <c r="F35" s="205"/>
      <c r="G35" s="205"/>
      <c r="H35" s="205"/>
      <c r="I35" s="205"/>
      <c r="J35" s="205"/>
      <c r="K35" s="205"/>
      <c r="L35" s="205"/>
      <c r="M35" s="205"/>
    </row>
    <row r="36" spans="2:13" ht="57.6" customHeight="1" x14ac:dyDescent="0.3">
      <c r="B36" s="205"/>
      <c r="C36" s="205"/>
      <c r="D36" s="205"/>
      <c r="E36" s="205"/>
      <c r="F36" s="205"/>
      <c r="G36" s="205"/>
      <c r="H36" s="205"/>
      <c r="I36" s="205"/>
      <c r="J36" s="205"/>
      <c r="K36" s="205"/>
      <c r="L36" s="205"/>
      <c r="M36" s="205"/>
    </row>
  </sheetData>
  <mergeCells count="23">
    <mergeCell ref="G18:H18"/>
    <mergeCell ref="B16:C16"/>
    <mergeCell ref="F22:G22"/>
    <mergeCell ref="G6:H6"/>
    <mergeCell ref="E25:J25"/>
    <mergeCell ref="I7:J7"/>
    <mergeCell ref="I6:J6"/>
    <mergeCell ref="B8:C8"/>
    <mergeCell ref="B9:C9"/>
    <mergeCell ref="B10:C10"/>
    <mergeCell ref="B14:C14"/>
    <mergeCell ref="B15:C15"/>
    <mergeCell ref="B25:D25"/>
    <mergeCell ref="B30:D30"/>
    <mergeCell ref="B32:M33"/>
    <mergeCell ref="B35:M36"/>
    <mergeCell ref="B19:C19"/>
    <mergeCell ref="B20:C20"/>
    <mergeCell ref="B21:C21"/>
    <mergeCell ref="B26:C26"/>
    <mergeCell ref="B27:C27"/>
    <mergeCell ref="B28:C28"/>
    <mergeCell ref="K25:M25"/>
  </mergeCells>
  <conditionalFormatting sqref="K27:K28">
    <cfRule type="cellIs" dxfId="8" priority="3" operator="lessThan">
      <formula>0</formula>
    </cfRule>
    <cfRule type="cellIs" dxfId="7" priority="4" operator="greaterThan">
      <formula>0</formula>
    </cfRule>
  </conditionalFormatting>
  <conditionalFormatting sqref="M27:M28">
    <cfRule type="cellIs" dxfId="6" priority="1" operator="greaterThan">
      <formula>0</formula>
    </cfRule>
    <cfRule type="cellIs" dxfId="5" priority="2" operator="lessThan">
      <formula>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C6DA-8AA2-49A9-95CD-2ED752E3176C}">
  <dimension ref="B2:I24"/>
  <sheetViews>
    <sheetView showGridLines="0" workbookViewId="0"/>
  </sheetViews>
  <sheetFormatPr defaultRowHeight="14.4" x14ac:dyDescent="0.3"/>
  <cols>
    <col min="1" max="1" width="6.5546875" customWidth="1"/>
    <col min="2" max="2" width="19.109375" customWidth="1"/>
    <col min="3" max="3" width="13.33203125" customWidth="1"/>
    <col min="4" max="10" width="12.33203125" customWidth="1"/>
  </cols>
  <sheetData>
    <row r="2" spans="2:9" x14ac:dyDescent="0.3">
      <c r="B2" t="s">
        <v>268</v>
      </c>
      <c r="C2" s="141">
        <v>1</v>
      </c>
    </row>
    <row r="3" spans="2:9" x14ac:dyDescent="0.3">
      <c r="B3" t="s">
        <v>267</v>
      </c>
      <c r="C3" s="137">
        <f ca="1">TODAY()</f>
        <v>43733</v>
      </c>
      <c r="G3" s="138">
        <v>-1E-4</v>
      </c>
      <c r="H3" s="138">
        <v>1E-4</v>
      </c>
    </row>
    <row r="5" spans="2:9" ht="15" thickBot="1" x14ac:dyDescent="0.35">
      <c r="B5" s="156" t="s">
        <v>218</v>
      </c>
      <c r="C5" s="176" t="s">
        <v>260</v>
      </c>
      <c r="D5" s="155" t="s">
        <v>261</v>
      </c>
      <c r="E5" s="155" t="s">
        <v>262</v>
      </c>
      <c r="F5" s="155" t="s">
        <v>265</v>
      </c>
      <c r="G5" s="155" t="s">
        <v>266</v>
      </c>
      <c r="H5" s="155" t="s">
        <v>263</v>
      </c>
      <c r="I5" s="157" t="s">
        <v>264</v>
      </c>
    </row>
    <row r="6" spans="2:9" x14ac:dyDescent="0.3">
      <c r="B6" s="12" t="s">
        <v>219</v>
      </c>
      <c r="C6" s="177" t="e">
        <f ca="1">IF($C$2,IF(H12&lt;&gt;"",H12,G12)*(G17/E17+H17-E12/365*(C$3-G$9)),"")</f>
        <v>#NAME?</v>
      </c>
      <c r="D6" s="168" t="e">
        <f ca="1">_xll.BDP($C12&amp;" PW EQUITY","BID_SIZE")</f>
        <v>#NAME?</v>
      </c>
      <c r="E6" s="169" t="e">
        <f ca="1">_xll.BDP($C12&amp;" PW EQUITY","BID")</f>
        <v>#NAME?</v>
      </c>
      <c r="F6" s="170" t="e">
        <f ca="1">IF(E6&gt;0,E6/C6-1,"")</f>
        <v>#NAME?</v>
      </c>
      <c r="G6" s="170" t="e">
        <f ca="1">IF(H6&gt;0,H6/C6-1,"")</f>
        <v>#NAME?</v>
      </c>
      <c r="H6" s="169" t="e">
        <f ca="1">_xll.BDP($C12&amp;" PW EQUITY","ASK")</f>
        <v>#NAME?</v>
      </c>
      <c r="I6" s="171" t="e">
        <f ca="1">_xll.BDP($C12&amp;" PW EQUITY","ASK_SIZE")</f>
        <v>#NAME?</v>
      </c>
    </row>
    <row r="7" spans="2:9" x14ac:dyDescent="0.3">
      <c r="B7" s="13" t="s">
        <v>256</v>
      </c>
      <c r="C7" s="178" t="e">
        <f ca="1">IF($C$2,IF(H13&lt;&gt;"",H13,G13)*(G18/E18+H18-E13/365*(C$3-G$9)),"")</f>
        <v>#NAME?</v>
      </c>
      <c r="D7" s="172" t="e">
        <f ca="1">_xll.BDP($C13&amp;" PW EQUITY","BID_SIZE")</f>
        <v>#NAME?</v>
      </c>
      <c r="E7" s="173" t="e">
        <f ca="1">_xll.BDP($C13&amp;" PW EQUITY","BID")</f>
        <v>#NAME?</v>
      </c>
      <c r="F7" s="174" t="e">
        <f ca="1">IF(E7&gt;0,E7/C7-1,"")</f>
        <v>#NAME?</v>
      </c>
      <c r="G7" s="174" t="e">
        <f ca="1">IF(H7&gt;0,H7/C7-1,"")</f>
        <v>#NAME?</v>
      </c>
      <c r="H7" s="173" t="e">
        <f ca="1">_xll.BDP($C13&amp;" PW EQUITY","ASK")</f>
        <v>#NAME?</v>
      </c>
      <c r="I7" s="175" t="e">
        <f ca="1">_xll.BDP($C13&amp;" PW EQUITY","ASK_SIZE")</f>
        <v>#NAME?</v>
      </c>
    </row>
    <row r="8" spans="2:9" x14ac:dyDescent="0.3">
      <c r="H8" s="139"/>
    </row>
    <row r="9" spans="2:9" x14ac:dyDescent="0.3">
      <c r="F9" s="82">
        <f ca="1">WORKDAY(C3,-2)</f>
        <v>43731</v>
      </c>
      <c r="G9" s="201">
        <f ca="1">WORKDAY(C3,-1)</f>
        <v>43732</v>
      </c>
      <c r="H9" s="221"/>
    </row>
    <row r="10" spans="2:9" x14ac:dyDescent="0.3">
      <c r="F10" s="147" t="s">
        <v>224</v>
      </c>
      <c r="G10" s="125" t="s">
        <v>224</v>
      </c>
      <c r="H10" s="126" t="s">
        <v>224</v>
      </c>
    </row>
    <row r="11" spans="2:9" ht="15" thickBot="1" x14ac:dyDescent="0.35">
      <c r="B11" s="156" t="s">
        <v>218</v>
      </c>
      <c r="C11" s="154" t="s">
        <v>257</v>
      </c>
      <c r="D11" s="154" t="s">
        <v>220</v>
      </c>
      <c r="E11" s="155" t="s">
        <v>233</v>
      </c>
      <c r="F11" s="165" t="s">
        <v>227</v>
      </c>
      <c r="G11" s="166" t="s">
        <v>228</v>
      </c>
      <c r="H11" s="167" t="s">
        <v>227</v>
      </c>
    </row>
    <row r="12" spans="2:9" x14ac:dyDescent="0.3">
      <c r="B12" s="12" t="s">
        <v>219</v>
      </c>
      <c r="C12" s="3" t="s">
        <v>273</v>
      </c>
      <c r="D12" s="3" t="s">
        <v>193</v>
      </c>
      <c r="E12" s="158">
        <v>4.0000000000000001E-3</v>
      </c>
      <c r="F12" s="160" t="e">
        <f ca="1">_xll.BDH($C12&amp;" PW EQUITY","FUND_NET_ASSET_VAL",F$9,F$9)</f>
        <v>#NAME?</v>
      </c>
      <c r="G12" s="162" t="str">
        <f ca="1">IF(ISNUMBER(F12),F12*(E17/D17+F17-E12/365*(G$9-F$9)),"")</f>
        <v/>
      </c>
      <c r="H12" s="185" t="e">
        <f ca="1">_xll.BDH($C12&amp;" PW EQUITY","FUND_NET_ASSET_VAL",G$9,G$9)</f>
        <v>#NAME?</v>
      </c>
    </row>
    <row r="13" spans="2:9" x14ac:dyDescent="0.3">
      <c r="B13" s="13" t="s">
        <v>256</v>
      </c>
      <c r="C13" s="14" t="s">
        <v>274</v>
      </c>
      <c r="D13" s="14" t="s">
        <v>5</v>
      </c>
      <c r="E13" s="159">
        <v>1.2E-2</v>
      </c>
      <c r="F13" s="161" t="e">
        <f ca="1">_xll.BDH($C13&amp;" PW EQUITY","FUND_NET_ASSET_VAL",F$9,F$9)</f>
        <v>#NAME?</v>
      </c>
      <c r="G13" s="163" t="str">
        <f ca="1">IF(ISNUMBER(F13),F13*(E18/D18+F18-E13/365*(G$9-F$9)),"")</f>
        <v/>
      </c>
      <c r="H13" s="164" t="e">
        <f ca="1">_xll.BDH($C13&amp;" PW EQUITY","FUND_NET_ASSET_VAL",G$9,G$9)</f>
        <v>#NAME?</v>
      </c>
    </row>
    <row r="15" spans="2:9" x14ac:dyDescent="0.3">
      <c r="D15" s="147">
        <f ca="1">F9</f>
        <v>43731</v>
      </c>
      <c r="E15" s="192">
        <f ca="1">G9</f>
        <v>43732</v>
      </c>
      <c r="F15" s="193"/>
      <c r="G15" s="195">
        <f ca="1">C3</f>
        <v>43733</v>
      </c>
      <c r="H15" s="196"/>
      <c r="I15" s="224"/>
    </row>
    <row r="16" spans="2:9" ht="29.4" thickBot="1" x14ac:dyDescent="0.35">
      <c r="B16" s="146" t="s">
        <v>0</v>
      </c>
      <c r="C16" s="145" t="s">
        <v>94</v>
      </c>
      <c r="D16" s="132" t="s">
        <v>258</v>
      </c>
      <c r="E16" s="7" t="s">
        <v>258</v>
      </c>
      <c r="F16" s="17" t="s">
        <v>196</v>
      </c>
      <c r="G16" s="7" t="s">
        <v>259</v>
      </c>
      <c r="H16" s="8" t="s">
        <v>196</v>
      </c>
      <c r="I16" s="17" t="s">
        <v>185</v>
      </c>
    </row>
    <row r="17" spans="2:9" x14ac:dyDescent="0.3">
      <c r="B17" s="12" t="s">
        <v>192</v>
      </c>
      <c r="C17" s="3" t="s">
        <v>95</v>
      </c>
      <c r="D17" s="148" t="e">
        <f ca="1">_xll.BDH($B17&amp;" INDEX","PX_LAST",D$15,D$15)</f>
        <v>#NAME?</v>
      </c>
      <c r="E17" s="150" t="e">
        <f t="shared" ref="E17:E18" ca="1" si="0">_xll.BDH($B17&amp;" INDEX","PX_LAST",E$15,E$15)</f>
        <v>#NAME?</v>
      </c>
      <c r="F17" s="151">
        <v>0</v>
      </c>
      <c r="G17" s="179" t="e">
        <f ca="1">_xll.BDP($B17&amp;" INDEX","LAST_PRICE")</f>
        <v>#NAME?</v>
      </c>
      <c r="H17" s="181">
        <v>0</v>
      </c>
      <c r="I17" s="183" t="e">
        <f ca="1">G17/E17-1+H17</f>
        <v>#NAME?</v>
      </c>
    </row>
    <row r="18" spans="2:9" x14ac:dyDescent="0.3">
      <c r="B18" s="13" t="s">
        <v>6</v>
      </c>
      <c r="C18" s="14" t="s">
        <v>95</v>
      </c>
      <c r="D18" s="149" t="e">
        <f ca="1">_xll.BDH($B18&amp;" INDEX","PX_LAST",D$15,D$15)</f>
        <v>#NAME?</v>
      </c>
      <c r="E18" s="152" t="e">
        <f t="shared" ca="1" si="0"/>
        <v>#NAME?</v>
      </c>
      <c r="F18" s="153">
        <v>0</v>
      </c>
      <c r="G18" s="180" t="e">
        <f ca="1">_xll.BDP($B18&amp;" INDEX","LAST_PRICE")</f>
        <v>#NAME?</v>
      </c>
      <c r="H18" s="182">
        <v>0</v>
      </c>
      <c r="I18" s="184" t="e">
        <f ca="1">G18/E18-1+H18</f>
        <v>#NAME?</v>
      </c>
    </row>
    <row r="21" spans="2:9" x14ac:dyDescent="0.3">
      <c r="B21" t="s">
        <v>269</v>
      </c>
    </row>
    <row r="22" spans="2:9" x14ac:dyDescent="0.3">
      <c r="B22" s="142"/>
      <c r="C22" s="144" t="s">
        <v>270</v>
      </c>
    </row>
    <row r="23" spans="2:9" x14ac:dyDescent="0.3">
      <c r="B23" s="143"/>
      <c r="C23" s="144" t="s">
        <v>272</v>
      </c>
    </row>
    <row r="24" spans="2:9" x14ac:dyDescent="0.3">
      <c r="B24" s="140"/>
      <c r="C24" s="144" t="s">
        <v>271</v>
      </c>
    </row>
  </sheetData>
  <mergeCells count="3">
    <mergeCell ref="G9:H9"/>
    <mergeCell ref="E15:F15"/>
    <mergeCell ref="G15:I15"/>
  </mergeCells>
  <conditionalFormatting sqref="F6:F7">
    <cfRule type="cellIs" dxfId="4" priority="4" operator="lessThan">
      <formula>$G$3</formula>
    </cfRule>
    <cfRule type="cellIs" dxfId="3" priority="5" operator="greaterThan">
      <formula>$H$3</formula>
    </cfRule>
  </conditionalFormatting>
  <conditionalFormatting sqref="G6:G7">
    <cfRule type="cellIs" dxfId="2" priority="2" operator="greaterThan">
      <formula>$H$3</formula>
    </cfRule>
    <cfRule type="cellIs" dxfId="1" priority="3" operator="lessThan">
      <formula>$G$3</formula>
    </cfRule>
  </conditionalFormatting>
  <conditionalFormatting sqref="F6:G7">
    <cfRule type="expression" dxfId="0" priority="1">
      <formula>IF(ISNUMBER(F6),0,1)</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Info</vt:lpstr>
      <vt:lpstr>Ind_bez_zm</vt:lpstr>
      <vt:lpstr>Ind_ze_zm</vt:lpstr>
      <vt:lpstr>Ind_z_dyw</vt:lpstr>
      <vt:lpstr>iNAV_bez_dyw</vt:lpstr>
      <vt:lpstr>iNAV_z_dyw</vt:lpstr>
      <vt:lpstr>Kalkulator 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Dawid</dc:creator>
  <cp:lastModifiedBy>Dawid</cp:lastModifiedBy>
  <dcterms:created xsi:type="dcterms:W3CDTF">2019-09-20T10:36:55Z</dcterms:created>
  <dcterms:modified xsi:type="dcterms:W3CDTF">2019-09-25T13:05:32Z</dcterms:modified>
</cp:coreProperties>
</file>