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1760" activeTab="2"/>
  </bookViews>
  <sheets>
    <sheet name="Struktura" sheetId="1" r:id="rId1"/>
    <sheet name="Otwarte" sheetId="2" r:id="rId2"/>
    <sheet name="Zamknięte 2012" sheetId="3" r:id="rId3"/>
    <sheet name="Statystki tyg" sheetId="4" r:id="rId4"/>
    <sheet name="WykresTYG" sheetId="5" r:id="rId5"/>
    <sheet name="Krzywa" sheetId="6" r:id="rId6"/>
    <sheet name="Zamknięte 2011" sheetId="7" r:id="rId7"/>
  </sheets>
  <definedNames/>
  <calcPr fullCalcOnLoad="1"/>
</workbook>
</file>

<file path=xl/comments2.xml><?xml version="1.0" encoding="utf-8"?>
<comments xmlns="http://schemas.openxmlformats.org/spreadsheetml/2006/main">
  <authors>
    <author>Łukasz Porębski</author>
  </authors>
  <commentList>
    <comment ref="A8" authorId="0">
      <text>
        <r>
          <rPr>
            <b/>
            <sz val="9"/>
            <rFont val="Tahoma"/>
            <family val="2"/>
          </rPr>
          <t>Łukasz Porębski:</t>
        </r>
        <r>
          <rPr>
            <sz val="9"/>
            <rFont val="Tahoma"/>
            <family val="2"/>
          </rPr>
          <t xml:space="preserve">
24 stycznia 2011 r.</t>
        </r>
      </text>
    </comment>
  </commentList>
</comments>
</file>

<file path=xl/comments4.xml><?xml version="1.0" encoding="utf-8"?>
<comments xmlns="http://schemas.openxmlformats.org/spreadsheetml/2006/main">
  <authors>
    <author>Łukasz</author>
  </authors>
  <commentList>
    <comment ref="B61" authorId="0">
      <text>
        <r>
          <rPr>
            <b/>
            <sz val="9"/>
            <rFont val="Tahoma"/>
            <family val="2"/>
          </rPr>
          <t>Odcięcie odsetek od kursu</t>
        </r>
      </text>
    </comment>
  </commentList>
</comments>
</file>

<file path=xl/sharedStrings.xml><?xml version="1.0" encoding="utf-8"?>
<sst xmlns="http://schemas.openxmlformats.org/spreadsheetml/2006/main" count="114" uniqueCount="70">
  <si>
    <t>Spółka</t>
  </si>
  <si>
    <t>Cena</t>
  </si>
  <si>
    <t>Wolumen</t>
  </si>
  <si>
    <t>Obrót</t>
  </si>
  <si>
    <t>Stopa zwrotu</t>
  </si>
  <si>
    <t>Przychód</t>
  </si>
  <si>
    <t>Kurs</t>
  </si>
  <si>
    <t>Rp</t>
  </si>
  <si>
    <t>Koszt</t>
  </si>
  <si>
    <t>+Prowizja</t>
  </si>
  <si>
    <t>-Prowizja</t>
  </si>
  <si>
    <t>Wartość portfela</t>
  </si>
  <si>
    <t>Zysk/Strata z prowizją</t>
  </si>
  <si>
    <t>WIG20</t>
  </si>
  <si>
    <t>mWIG40</t>
  </si>
  <si>
    <t>sWIG80</t>
  </si>
  <si>
    <t>WIG</t>
  </si>
  <si>
    <t>Tygodnie</t>
  </si>
  <si>
    <t>Vp</t>
  </si>
  <si>
    <t>Benchmarki WARTOŚCI</t>
  </si>
  <si>
    <t>sprzedaż Trakcji i PGNIG ze stratą</t>
  </si>
  <si>
    <t>Prowizje</t>
  </si>
  <si>
    <t>Indeksy</t>
  </si>
  <si>
    <t>PKO BP</t>
  </si>
  <si>
    <t>GNT0912</t>
  </si>
  <si>
    <t>Struktura portfela</t>
  </si>
  <si>
    <t>Kopex</t>
  </si>
  <si>
    <t>ETFW20L</t>
  </si>
  <si>
    <t>stop loss</t>
  </si>
  <si>
    <t>INVGLDFIZ</t>
  </si>
  <si>
    <t>dywidenda z ETF</t>
  </si>
  <si>
    <t>Zysk/Strata</t>
  </si>
  <si>
    <t>Cena Kupna</t>
  </si>
  <si>
    <t>Kurs Sprzedaży</t>
  </si>
  <si>
    <t>PZU</t>
  </si>
  <si>
    <t>Stop loss</t>
  </si>
  <si>
    <t>% straty</t>
  </si>
  <si>
    <t>Kredyt Inkaso</t>
  </si>
  <si>
    <t>JSW</t>
  </si>
  <si>
    <t>od drugiego dnia notowań, zapisy po 146 zł</t>
  </si>
  <si>
    <t>dopłata 123,47 zł w październiku 2011 r.</t>
  </si>
  <si>
    <r>
      <t xml:space="preserve">Zysk/Strata </t>
    </r>
    <r>
      <rPr>
        <b/>
        <u val="single"/>
        <sz val="11"/>
        <color indexed="8"/>
        <rFont val="Calibri"/>
        <family val="2"/>
      </rPr>
      <t>z prowizją</t>
    </r>
  </si>
  <si>
    <t>IQ Partners</t>
  </si>
  <si>
    <t>Pekaes</t>
  </si>
  <si>
    <t>Silvano</t>
  </si>
  <si>
    <t>prowizja K</t>
  </si>
  <si>
    <t>prowizja S</t>
  </si>
  <si>
    <t>SUMA</t>
  </si>
  <si>
    <t>odsetki z obligacji GNT0912 (bez podatku)</t>
  </si>
  <si>
    <r>
      <rPr>
        <b/>
        <sz val="11"/>
        <color indexed="30"/>
        <rFont val="Calibri"/>
        <family val="2"/>
      </rPr>
      <t>STRATA PODATKOWA ZA 2011 rok</t>
    </r>
    <r>
      <rPr>
        <sz val="11"/>
        <color indexed="30"/>
        <rFont val="Calibri"/>
        <family val="2"/>
      </rPr>
      <t xml:space="preserve"> do rozliczenia w 5 następnych latach (max 50% w jednym roku)</t>
    </r>
  </si>
  <si>
    <t>CDRED</t>
  </si>
  <si>
    <t>Rank Progress</t>
  </si>
  <si>
    <t>% zysku/straty</t>
  </si>
  <si>
    <t>wynik stop-loss</t>
  </si>
  <si>
    <t>x</t>
  </si>
  <si>
    <t>obligacje</t>
  </si>
  <si>
    <t>Sygnity</t>
  </si>
  <si>
    <t>Suma</t>
  </si>
  <si>
    <t>Kapitał początkowy</t>
  </si>
  <si>
    <t>Zwrot z kapitału</t>
  </si>
  <si>
    <t>Zwrot z WIG20</t>
  </si>
  <si>
    <t>gotówka</t>
  </si>
  <si>
    <t>Gotówka (lokata O/N)</t>
  </si>
  <si>
    <t>od kwietnia 2012 r. podatek o zysków kapitałowych ("Belki") jest zaokrąglany do 1 grosza</t>
  </si>
  <si>
    <t>S/L 18,95zł break-even, przyznanie się do błędu, taka strategia</t>
  </si>
  <si>
    <r>
      <rPr>
        <b/>
        <sz val="11"/>
        <color indexed="23"/>
        <rFont val="Calibri"/>
        <family val="2"/>
      </rPr>
      <t>WIG20</t>
    </r>
    <r>
      <rPr>
        <sz val="11"/>
        <color indexed="23"/>
        <rFont val="Calibri"/>
        <family val="2"/>
      </rPr>
      <t xml:space="preserve"> 17 lipca '12</t>
    </r>
  </si>
  <si>
    <t>(17 lipca 2012 r.)</t>
  </si>
  <si>
    <t>(stan na 17 lipca)</t>
  </si>
  <si>
    <t>w najgoszym wypadku</t>
  </si>
  <si>
    <t>ważność DOM i typ ceny PKC!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</si>
</sst>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0.0%"/>
    <numFmt numFmtId="166" formatCode="[$-415]d\ mmm;@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0.000%"/>
    <numFmt numFmtId="174" formatCode="0.0000%"/>
    <numFmt numFmtId="175" formatCode="_-* #,##0\ &quot;zł&quot;_-;\-* #,##0\ &quot;zł&quot;_-;_-* &quot;-&quot;??\ &quot;zł&quot;_-;_-@_-"/>
    <numFmt numFmtId="176" formatCode="yyyy\-mm\-dd"/>
    <numFmt numFmtId="177" formatCode="_-* #,##0.00&quot; zł&quot;_-;\-* #,##0.00&quot; zł&quot;_-;_-* \-??&quot; zł&quot;_-;_-@_-"/>
    <numFmt numFmtId="178" formatCode="0.0"/>
    <numFmt numFmtId="179" formatCode="0.000"/>
  </numFmts>
  <fonts count="10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36"/>
      <color indexed="8"/>
      <name val="Calibri"/>
      <family val="0"/>
    </font>
    <font>
      <sz val="20"/>
      <color indexed="8"/>
      <name val="Calibri"/>
      <family val="0"/>
    </font>
    <font>
      <sz val="24"/>
      <color indexed="8"/>
      <name val="Calibri"/>
      <family val="0"/>
    </font>
    <font>
      <b/>
      <sz val="36"/>
      <color indexed="8"/>
      <name val="Calibri"/>
      <family val="0"/>
    </font>
    <font>
      <sz val="16"/>
      <color indexed="8"/>
      <name val="Calibri"/>
      <family val="0"/>
    </font>
    <font>
      <b/>
      <sz val="13.5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5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Calibri"/>
      <family val="2"/>
    </font>
    <font>
      <i/>
      <sz val="11"/>
      <color indexed="30"/>
      <name val="Calibri"/>
      <family val="2"/>
    </font>
    <font>
      <sz val="10"/>
      <color indexed="8"/>
      <name val="Czcionka tekstu podstawowego"/>
      <family val="2"/>
    </font>
    <font>
      <sz val="11"/>
      <color indexed="36"/>
      <name val="Calibri"/>
      <family val="2"/>
    </font>
    <font>
      <i/>
      <sz val="10"/>
      <color indexed="36"/>
      <name val="Calibri"/>
      <family val="2"/>
    </font>
    <font>
      <b/>
      <sz val="11"/>
      <color indexed="36"/>
      <name val="Calibri"/>
      <family val="2"/>
    </font>
    <font>
      <b/>
      <sz val="12"/>
      <color indexed="23"/>
      <name val="Calibri"/>
      <family val="2"/>
    </font>
    <font>
      <sz val="12"/>
      <color indexed="36"/>
      <name val="Calibri"/>
      <family val="2"/>
    </font>
    <font>
      <sz val="12"/>
      <color indexed="8"/>
      <name val="Czcionka tekstu podstawowego"/>
      <family val="0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10"/>
      <name val="Calibri"/>
      <family val="0"/>
    </font>
    <font>
      <i/>
      <sz val="11"/>
      <color indexed="36"/>
      <name val="Calibri"/>
      <family val="2"/>
    </font>
    <font>
      <i/>
      <sz val="11"/>
      <color indexed="17"/>
      <name val="Calibri"/>
      <family val="2"/>
    </font>
    <font>
      <sz val="8"/>
      <name val="Tahoma"/>
      <family val="2"/>
    </font>
    <font>
      <sz val="28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 tint="-0.3499799966812134"/>
      <name val="Calibri"/>
      <family val="2"/>
    </font>
    <font>
      <sz val="11"/>
      <color theme="1"/>
      <name val="Calibri"/>
      <family val="2"/>
    </font>
    <font>
      <sz val="11"/>
      <color rgb="FF00B050"/>
      <name val="Calibri"/>
      <family val="2"/>
    </font>
    <font>
      <b/>
      <sz val="12"/>
      <color rgb="FF0070C0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24997000396251678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  <font>
      <i/>
      <sz val="11"/>
      <color rgb="FF0070C0"/>
      <name val="Calibri"/>
      <family val="2"/>
    </font>
    <font>
      <sz val="10"/>
      <color theme="1"/>
      <name val="Czcionka tekstu podstawowego"/>
      <family val="2"/>
    </font>
    <font>
      <sz val="11"/>
      <color rgb="FF7030A0"/>
      <name val="Calibri"/>
      <family val="2"/>
    </font>
    <font>
      <i/>
      <sz val="10"/>
      <color rgb="FF7030A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rgb="FF0070C0"/>
      <name val="Calibri"/>
      <family val="2"/>
    </font>
    <font>
      <sz val="11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sz val="12"/>
      <color rgb="FF7030A0"/>
      <name val="Calibri"/>
      <family val="2"/>
    </font>
    <font>
      <sz val="12"/>
      <color theme="1"/>
      <name val="Czcionka tekstu podstawowego"/>
      <family val="0"/>
    </font>
    <font>
      <sz val="12"/>
      <color theme="3"/>
      <name val="Calibri"/>
      <family val="2"/>
    </font>
    <font>
      <b/>
      <sz val="12"/>
      <color theme="3"/>
      <name val="Calibri"/>
      <family val="2"/>
    </font>
    <font>
      <sz val="12"/>
      <color rgb="FFFF0000"/>
      <name val="Calibri"/>
      <family val="0"/>
    </font>
    <font>
      <i/>
      <sz val="11"/>
      <color rgb="FF7030A0"/>
      <name val="Calibri"/>
      <family val="2"/>
    </font>
    <font>
      <i/>
      <sz val="11"/>
      <color rgb="FF00B050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84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65" fontId="4" fillId="33" borderId="10" xfId="54" applyNumberFormat="1" applyFont="1" applyFill="1" applyBorder="1" applyAlignment="1">
      <alignment/>
    </xf>
    <xf numFmtId="165" fontId="4" fillId="0" borderId="10" xfId="54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4" fontId="8" fillId="0" borderId="0" xfId="84" applyFont="1" applyBorder="1" applyAlignment="1">
      <alignment/>
    </xf>
    <xf numFmtId="14" fontId="4" fillId="34" borderId="0" xfId="0" applyNumberFormat="1" applyFont="1" applyFill="1" applyBorder="1" applyAlignment="1">
      <alignment/>
    </xf>
    <xf numFmtId="44" fontId="4" fillId="34" borderId="0" xfId="84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44" fontId="4" fillId="0" borderId="0" xfId="84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44" fontId="4" fillId="0" borderId="11" xfId="84" applyFont="1" applyBorder="1" applyAlignment="1">
      <alignment/>
    </xf>
    <xf numFmtId="44" fontId="4" fillId="0" borderId="12" xfId="84" applyFont="1" applyBorder="1" applyAlignment="1">
      <alignment/>
    </xf>
    <xf numFmtId="44" fontId="82" fillId="0" borderId="13" xfId="84" applyFont="1" applyBorder="1" applyAlignment="1">
      <alignment/>
    </xf>
    <xf numFmtId="0" fontId="3" fillId="35" borderId="14" xfId="0" applyFont="1" applyFill="1" applyBorder="1" applyAlignment="1">
      <alignment/>
    </xf>
    <xf numFmtId="44" fontId="82" fillId="0" borderId="12" xfId="84" applyFont="1" applyBorder="1" applyAlignment="1">
      <alignment/>
    </xf>
    <xf numFmtId="0" fontId="83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84" applyFont="1" applyBorder="1" applyAlignment="1">
      <alignment/>
    </xf>
    <xf numFmtId="44" fontId="5" fillId="0" borderId="10" xfId="84" applyFont="1" applyBorder="1" applyAlignment="1">
      <alignment/>
    </xf>
    <xf numFmtId="44" fontId="82" fillId="0" borderId="10" xfId="84" applyFont="1" applyBorder="1" applyAlignment="1">
      <alignment/>
    </xf>
    <xf numFmtId="44" fontId="84" fillId="0" borderId="15" xfId="84" applyFont="1" applyBorder="1" applyAlignment="1">
      <alignment/>
    </xf>
    <xf numFmtId="44" fontId="83" fillId="0" borderId="0" xfId="0" applyNumberFormat="1" applyFont="1" applyAlignment="1">
      <alignment/>
    </xf>
    <xf numFmtId="44" fontId="85" fillId="2" borderId="16" xfId="0" applyNumberFormat="1" applyFont="1" applyFill="1" applyBorder="1" applyAlignment="1">
      <alignment/>
    </xf>
    <xf numFmtId="0" fontId="86" fillId="0" borderId="17" xfId="0" applyFont="1" applyFill="1" applyBorder="1" applyAlignment="1">
      <alignment/>
    </xf>
    <xf numFmtId="165" fontId="87" fillId="0" borderId="0" xfId="54" applyNumberFormat="1" applyFont="1" applyFill="1" applyBorder="1" applyAlignment="1">
      <alignment/>
    </xf>
    <xf numFmtId="44" fontId="87" fillId="0" borderId="0" xfId="84" applyFont="1" applyAlignment="1">
      <alignment/>
    </xf>
    <xf numFmtId="44" fontId="4" fillId="0" borderId="18" xfId="84" applyFont="1" applyBorder="1" applyAlignment="1">
      <alignment/>
    </xf>
    <xf numFmtId="44" fontId="82" fillId="0" borderId="18" xfId="84" applyFont="1" applyBorder="1" applyAlignment="1">
      <alignment/>
    </xf>
    <xf numFmtId="0" fontId="88" fillId="0" borderId="0" xfId="0" applyFont="1" applyAlignment="1">
      <alignment/>
    </xf>
    <xf numFmtId="0" fontId="85" fillId="2" borderId="16" xfId="0" applyFont="1" applyFill="1" applyBorder="1" applyAlignment="1">
      <alignment/>
    </xf>
    <xf numFmtId="10" fontId="4" fillId="0" borderId="19" xfId="54" applyNumberFormat="1" applyFont="1" applyBorder="1" applyAlignment="1">
      <alignment/>
    </xf>
    <xf numFmtId="44" fontId="4" fillId="0" borderId="20" xfId="84" applyFont="1" applyBorder="1" applyAlignment="1">
      <alignment/>
    </xf>
    <xf numFmtId="10" fontId="4" fillId="0" borderId="21" xfId="54" applyNumberFormat="1" applyFont="1" applyBorder="1" applyAlignment="1">
      <alignment/>
    </xf>
    <xf numFmtId="44" fontId="4" fillId="0" borderId="22" xfId="84" applyFont="1" applyBorder="1" applyAlignment="1">
      <alignment/>
    </xf>
    <xf numFmtId="44" fontId="7" fillId="33" borderId="23" xfId="0" applyNumberFormat="1" applyFont="1" applyFill="1" applyBorder="1" applyAlignment="1">
      <alignment/>
    </xf>
    <xf numFmtId="44" fontId="6" fillId="33" borderId="23" xfId="0" applyNumberFormat="1" applyFont="1" applyFill="1" applyBorder="1" applyAlignment="1">
      <alignment/>
    </xf>
    <xf numFmtId="44" fontId="89" fillId="0" borderId="23" xfId="0" applyNumberFormat="1" applyFont="1" applyBorder="1" applyAlignment="1">
      <alignment/>
    </xf>
    <xf numFmtId="0" fontId="90" fillId="0" borderId="24" xfId="0" applyFont="1" applyBorder="1" applyAlignment="1">
      <alignment/>
    </xf>
    <xf numFmtId="44" fontId="91" fillId="0" borderId="24" xfId="0" applyNumberFormat="1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8" fontId="82" fillId="0" borderId="10" xfId="84" applyNumberFormat="1" applyFont="1" applyBorder="1" applyAlignment="1">
      <alignment/>
    </xf>
    <xf numFmtId="165" fontId="94" fillId="0" borderId="10" xfId="54" applyNumberFormat="1" applyFont="1" applyBorder="1" applyAlignment="1">
      <alignment/>
    </xf>
    <xf numFmtId="0" fontId="2" fillId="0" borderId="0" xfId="0" applyFont="1" applyAlignment="1">
      <alignment/>
    </xf>
    <xf numFmtId="0" fontId="95" fillId="0" borderId="0" xfId="0" applyFont="1" applyAlignment="1">
      <alignment/>
    </xf>
    <xf numFmtId="44" fontId="4" fillId="0" borderId="0" xfId="0" applyNumberFormat="1" applyFont="1" applyAlignment="1">
      <alignment/>
    </xf>
    <xf numFmtId="44" fontId="8" fillId="0" borderId="10" xfId="84" applyFont="1" applyBorder="1" applyAlignment="1">
      <alignment/>
    </xf>
    <xf numFmtId="0" fontId="6" fillId="35" borderId="10" xfId="0" applyFont="1" applyFill="1" applyBorder="1" applyAlignment="1">
      <alignment/>
    </xf>
    <xf numFmtId="10" fontId="4" fillId="0" borderId="10" xfId="54" applyNumberFormat="1" applyFont="1" applyBorder="1" applyAlignment="1">
      <alignment/>
    </xf>
    <xf numFmtId="10" fontId="4" fillId="0" borderId="0" xfId="54" applyNumberFormat="1" applyFont="1" applyAlignment="1">
      <alignment/>
    </xf>
    <xf numFmtId="0" fontId="89" fillId="0" borderId="24" xfId="0" applyFont="1" applyBorder="1" applyAlignment="1">
      <alignment/>
    </xf>
    <xf numFmtId="0" fontId="96" fillId="0" borderId="24" xfId="0" applyFont="1" applyBorder="1" applyAlignment="1">
      <alignment/>
    </xf>
    <xf numFmtId="44" fontId="89" fillId="0" borderId="24" xfId="0" applyNumberFormat="1" applyFont="1" applyBorder="1" applyAlignment="1">
      <alignment/>
    </xf>
    <xf numFmtId="44" fontId="96" fillId="0" borderId="24" xfId="0" applyNumberFormat="1" applyFont="1" applyBorder="1" applyAlignment="1">
      <alignment/>
    </xf>
    <xf numFmtId="8" fontId="94" fillId="0" borderId="25" xfId="84" applyNumberFormat="1" applyFont="1" applyBorder="1" applyAlignment="1">
      <alignment/>
    </xf>
    <xf numFmtId="8" fontId="94" fillId="0" borderId="25" xfId="84" applyNumberFormat="1" applyFont="1" applyBorder="1" applyAlignment="1">
      <alignment horizontal="right"/>
    </xf>
    <xf numFmtId="165" fontId="94" fillId="0" borderId="25" xfId="54" applyNumberFormat="1" applyFont="1" applyBorder="1" applyAlignment="1">
      <alignment horizontal="right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10" fontId="4" fillId="0" borderId="28" xfId="54" applyNumberFormat="1" applyFont="1" applyBorder="1" applyAlignment="1">
      <alignment/>
    </xf>
    <xf numFmtId="44" fontId="4" fillId="0" borderId="29" xfId="0" applyNumberFormat="1" applyFont="1" applyBorder="1" applyAlignment="1">
      <alignment/>
    </xf>
    <xf numFmtId="44" fontId="82" fillId="0" borderId="30" xfId="84" applyFont="1" applyBorder="1" applyAlignment="1">
      <alignment/>
    </xf>
    <xf numFmtId="10" fontId="4" fillId="0" borderId="31" xfId="54" applyNumberFormat="1" applyFont="1" applyBorder="1" applyAlignment="1">
      <alignment/>
    </xf>
    <xf numFmtId="44" fontId="4" fillId="0" borderId="32" xfId="84" applyFont="1" applyBorder="1" applyAlignment="1">
      <alignment/>
    </xf>
    <xf numFmtId="44" fontId="5" fillId="0" borderId="10" xfId="84" applyFont="1" applyBorder="1" applyAlignment="1">
      <alignment/>
    </xf>
    <xf numFmtId="44" fontId="5" fillId="0" borderId="18" xfId="84" applyFont="1" applyBorder="1" applyAlignment="1">
      <alignment/>
    </xf>
    <xf numFmtId="44" fontId="97" fillId="0" borderId="25" xfId="84" applyFont="1" applyBorder="1" applyAlignment="1">
      <alignment horizontal="right"/>
    </xf>
    <xf numFmtId="44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44" fontId="84" fillId="0" borderId="15" xfId="84" applyFont="1" applyFill="1" applyBorder="1" applyAlignment="1">
      <alignment/>
    </xf>
    <xf numFmtId="10" fontId="6" fillId="0" borderId="26" xfId="54" applyNumberFormat="1" applyFont="1" applyBorder="1" applyAlignment="1">
      <alignment/>
    </xf>
    <xf numFmtId="44" fontId="6" fillId="0" borderId="27" xfId="0" applyNumberFormat="1" applyFont="1" applyBorder="1" applyAlignment="1">
      <alignment/>
    </xf>
    <xf numFmtId="44" fontId="94" fillId="0" borderId="25" xfId="84" applyFont="1" applyBorder="1" applyAlignment="1">
      <alignment horizontal="right"/>
    </xf>
    <xf numFmtId="44" fontId="82" fillId="0" borderId="33" xfId="84" applyFont="1" applyBorder="1" applyAlignment="1">
      <alignment/>
    </xf>
    <xf numFmtId="10" fontId="4" fillId="0" borderId="18" xfId="54" applyNumberFormat="1" applyFont="1" applyBorder="1" applyAlignment="1">
      <alignment/>
    </xf>
    <xf numFmtId="0" fontId="98" fillId="0" borderId="0" xfId="0" applyFont="1" applyAlignment="1">
      <alignment/>
    </xf>
    <xf numFmtId="0" fontId="4" fillId="0" borderId="0" xfId="0" applyFont="1" applyAlignment="1">
      <alignment vertical="center"/>
    </xf>
    <xf numFmtId="44" fontId="4" fillId="0" borderId="33" xfId="84" applyFont="1" applyBorder="1" applyAlignment="1">
      <alignment/>
    </xf>
    <xf numFmtId="0" fontId="99" fillId="0" borderId="17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86" fillId="0" borderId="17" xfId="0" applyFont="1" applyFill="1" applyBorder="1" applyAlignment="1">
      <alignment/>
    </xf>
    <xf numFmtId="165" fontId="99" fillId="0" borderId="17" xfId="54" applyNumberFormat="1" applyFont="1" applyFill="1" applyBorder="1" applyAlignment="1">
      <alignment/>
    </xf>
    <xf numFmtId="44" fontId="99" fillId="0" borderId="17" xfId="84" applyFont="1" applyFill="1" applyBorder="1" applyAlignment="1">
      <alignment/>
    </xf>
    <xf numFmtId="44" fontId="87" fillId="0" borderId="34" xfId="84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4" fontId="94" fillId="0" borderId="10" xfId="84" applyFont="1" applyBorder="1" applyAlignment="1">
      <alignment horizontal="right"/>
    </xf>
    <xf numFmtId="0" fontId="6" fillId="35" borderId="25" xfId="0" applyFont="1" applyFill="1" applyBorder="1" applyAlignment="1">
      <alignment/>
    </xf>
    <xf numFmtId="44" fontId="94" fillId="0" borderId="30" xfId="84" applyFont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 quotePrefix="1">
      <alignment horizontal="center" vertical="center"/>
    </xf>
    <xf numFmtId="0" fontId="3" fillId="36" borderId="13" xfId="0" applyFont="1" applyFill="1" applyBorder="1" applyAlignment="1" quotePrefix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6" fillId="35" borderId="36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44" fontId="5" fillId="0" borderId="18" xfId="84" applyFont="1" applyBorder="1" applyAlignment="1">
      <alignment/>
    </xf>
    <xf numFmtId="44" fontId="94" fillId="0" borderId="18" xfId="84" applyFont="1" applyBorder="1" applyAlignment="1">
      <alignment horizontal="right"/>
    </xf>
    <xf numFmtId="165" fontId="94" fillId="0" borderId="18" xfId="54" applyNumberFormat="1" applyFont="1" applyBorder="1" applyAlignment="1">
      <alignment/>
    </xf>
    <xf numFmtId="44" fontId="94" fillId="0" borderId="33" xfId="84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44" fontId="94" fillId="0" borderId="30" xfId="84" applyFont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 quotePrefix="1">
      <alignment horizontal="center"/>
    </xf>
    <xf numFmtId="44" fontId="94" fillId="0" borderId="10" xfId="84" applyFont="1" applyBorder="1" applyAlignment="1">
      <alignment horizontal="center"/>
    </xf>
    <xf numFmtId="165" fontId="94" fillId="0" borderId="10" xfId="54" applyNumberFormat="1" applyFont="1" applyBorder="1" applyAlignment="1">
      <alignment horizontal="center"/>
    </xf>
    <xf numFmtId="44" fontId="94" fillId="0" borderId="33" xfId="84" applyFont="1" applyBorder="1" applyAlignment="1">
      <alignment horizontal="center"/>
    </xf>
    <xf numFmtId="44" fontId="14" fillId="0" borderId="10" xfId="0" applyNumberFormat="1" applyFont="1" applyBorder="1" applyAlignment="1">
      <alignment/>
    </xf>
    <xf numFmtId="44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4" fontId="7" fillId="33" borderId="10" xfId="0" applyNumberFormat="1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44" fontId="6" fillId="0" borderId="10" xfId="0" applyNumberFormat="1" applyFont="1" applyBorder="1" applyAlignment="1">
      <alignment/>
    </xf>
    <xf numFmtId="44" fontId="10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165" fontId="94" fillId="0" borderId="30" xfId="54" applyNumberFormat="1" applyFont="1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165" fontId="94" fillId="0" borderId="35" xfId="0" applyNumberFormat="1" applyFont="1" applyBorder="1" applyAlignment="1">
      <alignment/>
    </xf>
    <xf numFmtId="0" fontId="102" fillId="0" borderId="0" xfId="0" applyFont="1" applyBorder="1" applyAlignment="1">
      <alignment/>
    </xf>
    <xf numFmtId="0" fontId="103" fillId="0" borderId="0" xfId="0" applyFont="1" applyAlignment="1">
      <alignment/>
    </xf>
    <xf numFmtId="44" fontId="103" fillId="0" borderId="0" xfId="84" applyFont="1" applyAlignment="1">
      <alignment/>
    </xf>
    <xf numFmtId="165" fontId="104" fillId="0" borderId="0" xfId="54" applyNumberFormat="1" applyFont="1" applyAlignment="1">
      <alignment/>
    </xf>
    <xf numFmtId="44" fontId="100" fillId="0" borderId="17" xfId="84" applyFont="1" applyFill="1" applyBorder="1" applyAlignment="1">
      <alignment/>
    </xf>
    <xf numFmtId="0" fontId="99" fillId="0" borderId="0" xfId="0" applyFont="1" applyAlignment="1">
      <alignment/>
    </xf>
    <xf numFmtId="10" fontId="83" fillId="0" borderId="0" xfId="54" applyNumberFormat="1" applyFont="1" applyAlignment="1">
      <alignment/>
    </xf>
    <xf numFmtId="174" fontId="83" fillId="0" borderId="0" xfId="54" applyNumberFormat="1" applyFont="1" applyAlignment="1">
      <alignment/>
    </xf>
    <xf numFmtId="0" fontId="19" fillId="0" borderId="0" xfId="0" applyFont="1" applyAlignment="1">
      <alignment/>
    </xf>
    <xf numFmtId="0" fontId="6" fillId="35" borderId="0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4" fontId="105" fillId="0" borderId="10" xfId="0" applyNumberFormat="1" applyFont="1" applyBorder="1" applyAlignment="1">
      <alignment/>
    </xf>
    <xf numFmtId="44" fontId="6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4" fontId="7" fillId="33" borderId="10" xfId="0" applyNumberFormat="1" applyFont="1" applyFill="1" applyBorder="1" applyAlignment="1">
      <alignment/>
    </xf>
    <xf numFmtId="10" fontId="6" fillId="0" borderId="10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0" fontId="101" fillId="0" borderId="37" xfId="0" applyNumberFormat="1" applyFont="1" applyBorder="1" applyAlignment="1">
      <alignment horizontal="right"/>
    </xf>
    <xf numFmtId="0" fontId="101" fillId="0" borderId="12" xfId="0" applyNumberFormat="1" applyFont="1" applyBorder="1" applyAlignment="1">
      <alignment/>
    </xf>
    <xf numFmtId="44" fontId="101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10" fontId="94" fillId="0" borderId="18" xfId="84" applyNumberFormat="1" applyFont="1" applyBorder="1" applyAlignment="1">
      <alignment horizontal="center"/>
    </xf>
    <xf numFmtId="0" fontId="99" fillId="0" borderId="0" xfId="0" applyFont="1" applyAlignment="1">
      <alignment/>
    </xf>
    <xf numFmtId="0" fontId="86" fillId="0" borderId="0" xfId="0" applyFont="1" applyAlignment="1">
      <alignment horizontal="center"/>
    </xf>
    <xf numFmtId="14" fontId="99" fillId="0" borderId="0" xfId="0" applyNumberFormat="1" applyFont="1" applyAlignment="1">
      <alignment/>
    </xf>
    <xf numFmtId="2" fontId="99" fillId="0" borderId="0" xfId="0" applyNumberFormat="1" applyFont="1" applyAlignment="1">
      <alignment/>
    </xf>
    <xf numFmtId="14" fontId="99" fillId="0" borderId="0" xfId="0" applyNumberFormat="1" applyFont="1" applyBorder="1" applyAlignment="1">
      <alignment/>
    </xf>
    <xf numFmtId="0" fontId="101" fillId="5" borderId="0" xfId="0" applyFont="1" applyFill="1" applyBorder="1" applyAlignment="1">
      <alignment/>
    </xf>
    <xf numFmtId="44" fontId="101" fillId="5" borderId="0" xfId="0" applyNumberFormat="1" applyFont="1" applyFill="1" applyBorder="1" applyAlignment="1">
      <alignment/>
    </xf>
    <xf numFmtId="0" fontId="106" fillId="0" borderId="0" xfId="0" applyFont="1" applyAlignment="1">
      <alignment/>
    </xf>
    <xf numFmtId="0" fontId="97" fillId="0" borderId="0" xfId="0" applyFont="1" applyAlignment="1">
      <alignment/>
    </xf>
    <xf numFmtId="0" fontId="100" fillId="0" borderId="38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107" fillId="0" borderId="39" xfId="0" applyFont="1" applyBorder="1" applyAlignment="1">
      <alignment horizontal="center" vertical="center"/>
    </xf>
    <xf numFmtId="0" fontId="107" fillId="0" borderId="40" xfId="0" applyFont="1" applyBorder="1" applyAlignment="1">
      <alignment horizontal="center" vertical="center"/>
    </xf>
    <xf numFmtId="0" fontId="107" fillId="0" borderId="41" xfId="0" applyFont="1" applyBorder="1" applyAlignment="1">
      <alignment horizontal="center" vertical="center"/>
    </xf>
    <xf numFmtId="0" fontId="107" fillId="0" borderId="42" xfId="0" applyFont="1" applyBorder="1" applyAlignment="1">
      <alignment horizontal="center" vertical="center"/>
    </xf>
    <xf numFmtId="0" fontId="107" fillId="0" borderId="43" xfId="0" applyFont="1" applyBorder="1" applyAlignment="1">
      <alignment horizontal="center" vertical="center"/>
    </xf>
    <xf numFmtId="0" fontId="107" fillId="0" borderId="44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44" fontId="3" fillId="0" borderId="10" xfId="84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7" fillId="0" borderId="15" xfId="0" applyFont="1" applyBorder="1" applyAlignment="1">
      <alignment horizontal="center"/>
    </xf>
  </cellXfs>
  <cellStyles count="7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Procentowy 2 2" xfId="56"/>
    <cellStyle name="Procentowy 2 2 2" xfId="57"/>
    <cellStyle name="Procentowy 2 3" xfId="58"/>
    <cellStyle name="Procentowy 3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Uwaga 2 2" xfId="66"/>
    <cellStyle name="Uwaga 2 2 2" xfId="67"/>
    <cellStyle name="Uwaga 2 2 2 2" xfId="68"/>
    <cellStyle name="Uwaga 2 2 2 2 2" xfId="69"/>
    <cellStyle name="Uwaga 2 2 2 2 3" xfId="70"/>
    <cellStyle name="Uwaga 2 2 3" xfId="71"/>
    <cellStyle name="Uwaga 2 2 4" xfId="72"/>
    <cellStyle name="Uwaga 2 3" xfId="73"/>
    <cellStyle name="Uwaga 2 3 2" xfId="74"/>
    <cellStyle name="Uwaga 2 3 3" xfId="75"/>
    <cellStyle name="Uwaga 3" xfId="76"/>
    <cellStyle name="Uwaga 3 2" xfId="77"/>
    <cellStyle name="Uwaga 4" xfId="78"/>
    <cellStyle name="Uwaga 4 2" xfId="79"/>
    <cellStyle name="Uwaga 4 2 2" xfId="80"/>
    <cellStyle name="Uwaga 4 2 3" xfId="81"/>
    <cellStyle name="Uwaga 5" xfId="82"/>
    <cellStyle name="Uwaga 6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3" xfId="90"/>
    <cellStyle name="Złe" xfId="91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75"/>
          <c:y val="0.08525"/>
          <c:w val="0.543"/>
          <c:h val="0.82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800" b="0" i="0" u="none" baseline="0">
                        <a:solidFill>
                          <a:srgbClr val="000000"/>
                        </a:solidFill>
                      </a:rPr>
                      <a:t>obligacje
</a:t>
                    </a:r>
                    <a:r>
                      <a:rPr lang="en-US" cap="none" sz="2800" b="0" i="0" u="none" baseline="0">
                        <a:solidFill>
                          <a:srgbClr val="000000"/>
                        </a:solidFill>
                      </a:rPr>
                      <a:t>GNT0912
</a:t>
                    </a:r>
                    <a:r>
                      <a:rPr lang="en-US" cap="none" sz="2800" b="0" i="0" u="none" baseline="0">
                        <a:solidFill>
                          <a:srgbClr val="000000"/>
                        </a:solidFill>
                      </a:rPr>
                      <a:t>24,2%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Otwarte!$A$16:$A$17</c:f>
              <c:strCache>
                <c:ptCount val="2"/>
                <c:pt idx="0">
                  <c:v>Gotówka (lokata O/N)</c:v>
                </c:pt>
                <c:pt idx="1">
                  <c:v>GNT0912</c:v>
                </c:pt>
              </c:strCache>
            </c:strRef>
          </c:cat>
          <c:val>
            <c:numRef>
              <c:f>Otwarte!$B$16:$B$17</c:f>
              <c:numCache>
                <c:ptCount val="2"/>
                <c:pt idx="0">
                  <c:v>0.7581876173652046</c:v>
                </c:pt>
                <c:pt idx="1">
                  <c:v>0.2418123826347955</c:v>
                </c:pt>
              </c:numCache>
            </c:numRef>
          </c:val>
        </c:ser>
        <c:firstSliceAng val="13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09125"/>
          <c:w val="0.621"/>
          <c:h val="0.81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Otwarte!$A$20:$A$21</c:f>
              <c:strCache/>
            </c:strRef>
          </c:cat>
          <c:val>
            <c:numRef>
              <c:f>Otwarte!$B$20:$B$21</c:f>
              <c:numCache/>
            </c:numRef>
          </c:val>
        </c:ser>
        <c:firstSliceAng val="76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8"/>
          <c:w val="0.99375"/>
          <c:h val="0.92825"/>
        </c:manualLayout>
      </c:layout>
      <c:lineChart>
        <c:grouping val="standard"/>
        <c:varyColors val="0"/>
        <c:ser>
          <c:idx val="0"/>
          <c:order val="0"/>
          <c:tx>
            <c:v>Portfel SII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>
                <a:noFill/>
              </a:ln>
            </c:spPr>
          </c:marker>
          <c:cat>
            <c:strRef>
              <c:f>'Statystki tyg'!$A$4:$A$100</c:f>
              <c:strCache>
                <c:ptCount val="97"/>
                <c:pt idx="0">
                  <c:v>40571</c:v>
                </c:pt>
                <c:pt idx="1">
                  <c:v>40578</c:v>
                </c:pt>
                <c:pt idx="2">
                  <c:v>40585</c:v>
                </c:pt>
                <c:pt idx="3">
                  <c:v>40592</c:v>
                </c:pt>
                <c:pt idx="4">
                  <c:v>40599</c:v>
                </c:pt>
                <c:pt idx="5">
                  <c:v>40606</c:v>
                </c:pt>
                <c:pt idx="6">
                  <c:v>40613</c:v>
                </c:pt>
                <c:pt idx="7">
                  <c:v>40620</c:v>
                </c:pt>
                <c:pt idx="8">
                  <c:v>40627</c:v>
                </c:pt>
                <c:pt idx="9">
                  <c:v>40634</c:v>
                </c:pt>
                <c:pt idx="10">
                  <c:v>40641</c:v>
                </c:pt>
                <c:pt idx="11">
                  <c:v>40648</c:v>
                </c:pt>
                <c:pt idx="12">
                  <c:v>40655</c:v>
                </c:pt>
                <c:pt idx="13">
                  <c:v>40662</c:v>
                </c:pt>
                <c:pt idx="14">
                  <c:v>40669</c:v>
                </c:pt>
                <c:pt idx="15">
                  <c:v>40676</c:v>
                </c:pt>
                <c:pt idx="16">
                  <c:v>40683</c:v>
                </c:pt>
                <c:pt idx="17">
                  <c:v>40690</c:v>
                </c:pt>
                <c:pt idx="18">
                  <c:v>40697</c:v>
                </c:pt>
                <c:pt idx="19">
                  <c:v>40704</c:v>
                </c:pt>
                <c:pt idx="20">
                  <c:v>40711</c:v>
                </c:pt>
                <c:pt idx="21">
                  <c:v>40718</c:v>
                </c:pt>
                <c:pt idx="22">
                  <c:v>40725</c:v>
                </c:pt>
                <c:pt idx="23">
                  <c:v>40732</c:v>
                </c:pt>
                <c:pt idx="24">
                  <c:v>40739</c:v>
                </c:pt>
                <c:pt idx="25">
                  <c:v>40746</c:v>
                </c:pt>
                <c:pt idx="26">
                  <c:v>40753</c:v>
                </c:pt>
                <c:pt idx="27">
                  <c:v>40760</c:v>
                </c:pt>
                <c:pt idx="28">
                  <c:v>40767</c:v>
                </c:pt>
                <c:pt idx="29">
                  <c:v>40774</c:v>
                </c:pt>
                <c:pt idx="30">
                  <c:v>40781</c:v>
                </c:pt>
                <c:pt idx="31">
                  <c:v>40788</c:v>
                </c:pt>
                <c:pt idx="32">
                  <c:v>40795</c:v>
                </c:pt>
                <c:pt idx="33">
                  <c:v>40802</c:v>
                </c:pt>
                <c:pt idx="34">
                  <c:v>40809</c:v>
                </c:pt>
                <c:pt idx="35">
                  <c:v>40816</c:v>
                </c:pt>
                <c:pt idx="36">
                  <c:v>40823</c:v>
                </c:pt>
                <c:pt idx="37">
                  <c:v>40830</c:v>
                </c:pt>
                <c:pt idx="38">
                  <c:v>40837</c:v>
                </c:pt>
                <c:pt idx="39">
                  <c:v>40844</c:v>
                </c:pt>
                <c:pt idx="40">
                  <c:v>40851</c:v>
                </c:pt>
                <c:pt idx="41">
                  <c:v>40858</c:v>
                </c:pt>
                <c:pt idx="42">
                  <c:v>40865</c:v>
                </c:pt>
                <c:pt idx="43">
                  <c:v>40872</c:v>
                </c:pt>
                <c:pt idx="44">
                  <c:v>40879</c:v>
                </c:pt>
                <c:pt idx="45">
                  <c:v>40886</c:v>
                </c:pt>
                <c:pt idx="46">
                  <c:v>40893</c:v>
                </c:pt>
                <c:pt idx="47">
                  <c:v>40900</c:v>
                </c:pt>
                <c:pt idx="48">
                  <c:v>40907</c:v>
                </c:pt>
                <c:pt idx="49">
                  <c:v>40914</c:v>
                </c:pt>
                <c:pt idx="50">
                  <c:v>40921</c:v>
                </c:pt>
                <c:pt idx="51">
                  <c:v>40928</c:v>
                </c:pt>
                <c:pt idx="52">
                  <c:v>40935</c:v>
                </c:pt>
                <c:pt idx="53">
                  <c:v>40942</c:v>
                </c:pt>
                <c:pt idx="54">
                  <c:v>40949</c:v>
                </c:pt>
                <c:pt idx="55">
                  <c:v>40956</c:v>
                </c:pt>
                <c:pt idx="56">
                  <c:v>40963</c:v>
                </c:pt>
                <c:pt idx="57">
                  <c:v>40970</c:v>
                </c:pt>
                <c:pt idx="58">
                  <c:v>40977</c:v>
                </c:pt>
                <c:pt idx="59">
                  <c:v>40984</c:v>
                </c:pt>
                <c:pt idx="60">
                  <c:v>40991</c:v>
                </c:pt>
                <c:pt idx="61">
                  <c:v>40998</c:v>
                </c:pt>
                <c:pt idx="62">
                  <c:v>41005</c:v>
                </c:pt>
                <c:pt idx="63">
                  <c:v>41012</c:v>
                </c:pt>
                <c:pt idx="64">
                  <c:v>41019</c:v>
                </c:pt>
                <c:pt idx="65">
                  <c:v>41026</c:v>
                </c:pt>
                <c:pt idx="66">
                  <c:v>41033</c:v>
                </c:pt>
                <c:pt idx="67">
                  <c:v>41040</c:v>
                </c:pt>
                <c:pt idx="68">
                  <c:v>41047</c:v>
                </c:pt>
                <c:pt idx="69">
                  <c:v>41054</c:v>
                </c:pt>
                <c:pt idx="70">
                  <c:v>41061</c:v>
                </c:pt>
                <c:pt idx="71">
                  <c:v>41068</c:v>
                </c:pt>
                <c:pt idx="72">
                  <c:v>41075</c:v>
                </c:pt>
                <c:pt idx="73">
                  <c:v>41082</c:v>
                </c:pt>
                <c:pt idx="74">
                  <c:v>41089</c:v>
                </c:pt>
                <c:pt idx="75">
                  <c:v>41096</c:v>
                </c:pt>
                <c:pt idx="76">
                  <c:v>41103</c:v>
                </c:pt>
              </c:strCache>
            </c:strRef>
          </c:cat>
          <c:val>
            <c:numRef>
              <c:f>'Statystki tyg'!$C$4:$C$100</c:f>
              <c:numCache>
                <c:ptCount val="97"/>
                <c:pt idx="0">
                  <c:v>-0.0017700000000000493</c:v>
                </c:pt>
                <c:pt idx="1">
                  <c:v>0.0016298848962663648</c:v>
                </c:pt>
                <c:pt idx="2">
                  <c:v>-0.007730105405072796</c:v>
                </c:pt>
                <c:pt idx="3">
                  <c:v>-5.342052638379613E-05</c:v>
                </c:pt>
                <c:pt idx="4">
                  <c:v>-0.000923317289519443</c:v>
                </c:pt>
                <c:pt idx="5">
                  <c:v>0.008527390660832523</c:v>
                </c:pt>
                <c:pt idx="6">
                  <c:v>-0.004001556605519596</c:v>
                </c:pt>
                <c:pt idx="7">
                  <c:v>0.0039412983584952155</c:v>
                </c:pt>
                <c:pt idx="8">
                  <c:v>0.007304896777001524</c:v>
                </c:pt>
                <c:pt idx="9">
                  <c:v>0.002242171395256287</c:v>
                </c:pt>
                <c:pt idx="10">
                  <c:v>0.005562910888381234</c:v>
                </c:pt>
                <c:pt idx="11">
                  <c:v>0.005014745628666217</c:v>
                </c:pt>
                <c:pt idx="12">
                  <c:v>0.0015934559460912823</c:v>
                </c:pt>
                <c:pt idx="13">
                  <c:v>0.006215850271337864</c:v>
                </c:pt>
                <c:pt idx="14">
                  <c:v>-0.008648335717135303</c:v>
                </c:pt>
                <c:pt idx="15">
                  <c:v>-0.004725770366818649</c:v>
                </c:pt>
                <c:pt idx="16">
                  <c:v>-0.0016256330329421642</c:v>
                </c:pt>
                <c:pt idx="17">
                  <c:v>0.0026214468727345785</c:v>
                </c:pt>
                <c:pt idx="18">
                  <c:v>0.0026372513476875525</c:v>
                </c:pt>
                <c:pt idx="19">
                  <c:v>-0.010665694586779129</c:v>
                </c:pt>
                <c:pt idx="20">
                  <c:v>0.005160920613291875</c:v>
                </c:pt>
                <c:pt idx="21">
                  <c:v>-0.005674393742456707</c:v>
                </c:pt>
                <c:pt idx="22">
                  <c:v>-0.0009151908262305941</c:v>
                </c:pt>
                <c:pt idx="23">
                  <c:v>0.0013581301069744978</c:v>
                </c:pt>
                <c:pt idx="24">
                  <c:v>-0.0013895620942557807</c:v>
                </c:pt>
                <c:pt idx="25">
                  <c:v>-0.0010294481859333127</c:v>
                </c:pt>
                <c:pt idx="26">
                  <c:v>0.00040274483799596084</c:v>
                </c:pt>
                <c:pt idx="27">
                  <c:v>-0.01088416416814908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0.006211848848868495</c:v>
                </c:pt>
                <c:pt idx="36">
                  <c:v>0</c:v>
                </c:pt>
                <c:pt idx="37">
                  <c:v>-0.0002549999999998942</c:v>
                </c:pt>
                <c:pt idx="38">
                  <c:v>0.0009957539172489316</c:v>
                </c:pt>
                <c:pt idx="39">
                  <c:v>0.005473446912561242</c:v>
                </c:pt>
                <c:pt idx="40">
                  <c:v>-0.0019737273632552954</c:v>
                </c:pt>
                <c:pt idx="41">
                  <c:v>0.002857905344581857</c:v>
                </c:pt>
                <c:pt idx="42">
                  <c:v>0.002252999199683803</c:v>
                </c:pt>
                <c:pt idx="43">
                  <c:v>-0.010073104933666532</c:v>
                </c:pt>
                <c:pt idx="44">
                  <c:v>0.002913320459746238</c:v>
                </c:pt>
                <c:pt idx="45">
                  <c:v>-0.002083095294998727</c:v>
                </c:pt>
                <c:pt idx="46">
                  <c:v>-0.003042917841218129</c:v>
                </c:pt>
                <c:pt idx="47">
                  <c:v>0.0017026351476050472</c:v>
                </c:pt>
                <c:pt idx="48">
                  <c:v>0.00014669341526807322</c:v>
                </c:pt>
                <c:pt idx="49">
                  <c:v>0.008138538366966097</c:v>
                </c:pt>
                <c:pt idx="50">
                  <c:v>0.003450991452465191</c:v>
                </c:pt>
                <c:pt idx="51">
                  <c:v>-0.007447309665568835</c:v>
                </c:pt>
                <c:pt idx="52">
                  <c:v>0.0162687068691314</c:v>
                </c:pt>
                <c:pt idx="53">
                  <c:v>0.012172507881003769</c:v>
                </c:pt>
                <c:pt idx="54">
                  <c:v>-0.0032327497420345797</c:v>
                </c:pt>
                <c:pt idx="55">
                  <c:v>0.018722262931485156</c:v>
                </c:pt>
                <c:pt idx="56">
                  <c:v>0.0017639634135573345</c:v>
                </c:pt>
                <c:pt idx="57">
                  <c:v>-0.009352199440030184</c:v>
                </c:pt>
                <c:pt idx="58">
                  <c:v>0.008918565880411622</c:v>
                </c:pt>
                <c:pt idx="59">
                  <c:v>0.0004717034591257274</c:v>
                </c:pt>
                <c:pt idx="60">
                  <c:v>-0.001138804008018357</c:v>
                </c:pt>
                <c:pt idx="61">
                  <c:v>0.004527971385815954</c:v>
                </c:pt>
                <c:pt idx="62">
                  <c:v>0.005387039099247426</c:v>
                </c:pt>
                <c:pt idx="63">
                  <c:v>-0.004233071139873146</c:v>
                </c:pt>
                <c:pt idx="64">
                  <c:v>0.0030272600450531595</c:v>
                </c:pt>
                <c:pt idx="65">
                  <c:v>-0.004913081167278843</c:v>
                </c:pt>
                <c:pt idx="66">
                  <c:v>0.0023624517030467196</c:v>
                </c:pt>
                <c:pt idx="67">
                  <c:v>-0.00893112409269925</c:v>
                </c:pt>
                <c:pt idx="68">
                  <c:v>-0.0028335591378095826</c:v>
                </c:pt>
                <c:pt idx="69">
                  <c:v>-0.0030402311285699923</c:v>
                </c:pt>
                <c:pt idx="70">
                  <c:v>0.008677872075855797</c:v>
                </c:pt>
                <c:pt idx="71">
                  <c:v>-0.0014760908115493132</c:v>
                </c:pt>
                <c:pt idx="72">
                  <c:v>0.0009713409043454746</c:v>
                </c:pt>
                <c:pt idx="73">
                  <c:v>-0.0003002363705099098</c:v>
                </c:pt>
                <c:pt idx="74">
                  <c:v>0.0034014726027233877</c:v>
                </c:pt>
                <c:pt idx="75">
                  <c:v>-0.006444886560194152</c:v>
                </c:pt>
                <c:pt idx="76">
                  <c:v>-0.003267293017561901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'Statystki tyg'!$D$2</c:f>
              <c:strCache>
                <c:ptCount val="1"/>
                <c:pt idx="0">
                  <c:v>WIG20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'Statystki tyg'!$A$4:$A$100</c:f>
              <c:strCache>
                <c:ptCount val="97"/>
                <c:pt idx="0">
                  <c:v>40571</c:v>
                </c:pt>
                <c:pt idx="1">
                  <c:v>40578</c:v>
                </c:pt>
                <c:pt idx="2">
                  <c:v>40585</c:v>
                </c:pt>
                <c:pt idx="3">
                  <c:v>40592</c:v>
                </c:pt>
                <c:pt idx="4">
                  <c:v>40599</c:v>
                </c:pt>
                <c:pt idx="5">
                  <c:v>40606</c:v>
                </c:pt>
                <c:pt idx="6">
                  <c:v>40613</c:v>
                </c:pt>
                <c:pt idx="7">
                  <c:v>40620</c:v>
                </c:pt>
                <c:pt idx="8">
                  <c:v>40627</c:v>
                </c:pt>
                <c:pt idx="9">
                  <c:v>40634</c:v>
                </c:pt>
                <c:pt idx="10">
                  <c:v>40641</c:v>
                </c:pt>
                <c:pt idx="11">
                  <c:v>40648</c:v>
                </c:pt>
                <c:pt idx="12">
                  <c:v>40655</c:v>
                </c:pt>
                <c:pt idx="13">
                  <c:v>40662</c:v>
                </c:pt>
                <c:pt idx="14">
                  <c:v>40669</c:v>
                </c:pt>
                <c:pt idx="15">
                  <c:v>40676</c:v>
                </c:pt>
                <c:pt idx="16">
                  <c:v>40683</c:v>
                </c:pt>
                <c:pt idx="17">
                  <c:v>40690</c:v>
                </c:pt>
                <c:pt idx="18">
                  <c:v>40697</c:v>
                </c:pt>
                <c:pt idx="19">
                  <c:v>40704</c:v>
                </c:pt>
                <c:pt idx="20">
                  <c:v>40711</c:v>
                </c:pt>
                <c:pt idx="21">
                  <c:v>40718</c:v>
                </c:pt>
                <c:pt idx="22">
                  <c:v>40725</c:v>
                </c:pt>
                <c:pt idx="23">
                  <c:v>40732</c:v>
                </c:pt>
                <c:pt idx="24">
                  <c:v>40739</c:v>
                </c:pt>
                <c:pt idx="25">
                  <c:v>40746</c:v>
                </c:pt>
                <c:pt idx="26">
                  <c:v>40753</c:v>
                </c:pt>
                <c:pt idx="27">
                  <c:v>40760</c:v>
                </c:pt>
                <c:pt idx="28">
                  <c:v>40767</c:v>
                </c:pt>
                <c:pt idx="29">
                  <c:v>40774</c:v>
                </c:pt>
                <c:pt idx="30">
                  <c:v>40781</c:v>
                </c:pt>
                <c:pt idx="31">
                  <c:v>40788</c:v>
                </c:pt>
                <c:pt idx="32">
                  <c:v>40795</c:v>
                </c:pt>
                <c:pt idx="33">
                  <c:v>40802</c:v>
                </c:pt>
                <c:pt idx="34">
                  <c:v>40809</c:v>
                </c:pt>
                <c:pt idx="35">
                  <c:v>40816</c:v>
                </c:pt>
                <c:pt idx="36">
                  <c:v>40823</c:v>
                </c:pt>
                <c:pt idx="37">
                  <c:v>40830</c:v>
                </c:pt>
                <c:pt idx="38">
                  <c:v>40837</c:v>
                </c:pt>
                <c:pt idx="39">
                  <c:v>40844</c:v>
                </c:pt>
                <c:pt idx="40">
                  <c:v>40851</c:v>
                </c:pt>
                <c:pt idx="41">
                  <c:v>40858</c:v>
                </c:pt>
                <c:pt idx="42">
                  <c:v>40865</c:v>
                </c:pt>
                <c:pt idx="43">
                  <c:v>40872</c:v>
                </c:pt>
                <c:pt idx="44">
                  <c:v>40879</c:v>
                </c:pt>
                <c:pt idx="45">
                  <c:v>40886</c:v>
                </c:pt>
                <c:pt idx="46">
                  <c:v>40893</c:v>
                </c:pt>
                <c:pt idx="47">
                  <c:v>40900</c:v>
                </c:pt>
                <c:pt idx="48">
                  <c:v>40907</c:v>
                </c:pt>
                <c:pt idx="49">
                  <c:v>40914</c:v>
                </c:pt>
                <c:pt idx="50">
                  <c:v>40921</c:v>
                </c:pt>
                <c:pt idx="51">
                  <c:v>40928</c:v>
                </c:pt>
                <c:pt idx="52">
                  <c:v>40935</c:v>
                </c:pt>
                <c:pt idx="53">
                  <c:v>40942</c:v>
                </c:pt>
                <c:pt idx="54">
                  <c:v>40949</c:v>
                </c:pt>
                <c:pt idx="55">
                  <c:v>40956</c:v>
                </c:pt>
                <c:pt idx="56">
                  <c:v>40963</c:v>
                </c:pt>
                <c:pt idx="57">
                  <c:v>40970</c:v>
                </c:pt>
                <c:pt idx="58">
                  <c:v>40977</c:v>
                </c:pt>
                <c:pt idx="59">
                  <c:v>40984</c:v>
                </c:pt>
                <c:pt idx="60">
                  <c:v>40991</c:v>
                </c:pt>
                <c:pt idx="61">
                  <c:v>40998</c:v>
                </c:pt>
                <c:pt idx="62">
                  <c:v>41005</c:v>
                </c:pt>
                <c:pt idx="63">
                  <c:v>41012</c:v>
                </c:pt>
                <c:pt idx="64">
                  <c:v>41019</c:v>
                </c:pt>
                <c:pt idx="65">
                  <c:v>41026</c:v>
                </c:pt>
                <c:pt idx="66">
                  <c:v>41033</c:v>
                </c:pt>
                <c:pt idx="67">
                  <c:v>41040</c:v>
                </c:pt>
                <c:pt idx="68">
                  <c:v>41047</c:v>
                </c:pt>
                <c:pt idx="69">
                  <c:v>41054</c:v>
                </c:pt>
                <c:pt idx="70">
                  <c:v>41061</c:v>
                </c:pt>
                <c:pt idx="71">
                  <c:v>41068</c:v>
                </c:pt>
                <c:pt idx="72">
                  <c:v>41075</c:v>
                </c:pt>
                <c:pt idx="73">
                  <c:v>41082</c:v>
                </c:pt>
                <c:pt idx="74">
                  <c:v>41089</c:v>
                </c:pt>
                <c:pt idx="75">
                  <c:v>41096</c:v>
                </c:pt>
                <c:pt idx="76">
                  <c:v>41103</c:v>
                </c:pt>
              </c:strCache>
            </c:strRef>
          </c:cat>
          <c:val>
            <c:numRef>
              <c:f>'Statystki tyg'!$D$4:$D$100</c:f>
              <c:numCache>
                <c:ptCount val="97"/>
                <c:pt idx="0">
                  <c:v>-0.010386674032583199</c:v>
                </c:pt>
                <c:pt idx="1">
                  <c:v>0.01383405054493303</c:v>
                </c:pt>
                <c:pt idx="2">
                  <c:v>-0.009473661179868254</c:v>
                </c:pt>
                <c:pt idx="3">
                  <c:v>-0.019448821216628054</c:v>
                </c:pt>
                <c:pt idx="4">
                  <c:v>0.003750661715843151</c:v>
                </c:pt>
                <c:pt idx="5">
                  <c:v>0.04099090337831779</c:v>
                </c:pt>
                <c:pt idx="6">
                  <c:v>-0.012148280161402125</c:v>
                </c:pt>
                <c:pt idx="7">
                  <c:v>0.011053722765794971</c:v>
                </c:pt>
                <c:pt idx="8">
                  <c:v>0.01230353024977604</c:v>
                </c:pt>
                <c:pt idx="9">
                  <c:v>0.022513317862460802</c:v>
                </c:pt>
                <c:pt idx="10">
                  <c:v>0.00913722873309153</c:v>
                </c:pt>
                <c:pt idx="11">
                  <c:v>0.00471150633883588</c:v>
                </c:pt>
                <c:pt idx="12">
                  <c:v>-0.003150270292505475</c:v>
                </c:pt>
                <c:pt idx="13">
                  <c:v>0.0017572093727002969</c:v>
                </c:pt>
                <c:pt idx="14">
                  <c:v>-0.015769979369269493</c:v>
                </c:pt>
                <c:pt idx="15">
                  <c:v>-0.015562275259051517</c:v>
                </c:pt>
                <c:pt idx="16">
                  <c:v>0.0024304091661144778</c:v>
                </c:pt>
                <c:pt idx="17">
                  <c:v>0.013147524413044342</c:v>
                </c:pt>
                <c:pt idx="18">
                  <c:v>0.005996588328455399</c:v>
                </c:pt>
                <c:pt idx="19">
                  <c:v>-0.010978493803358136</c:v>
                </c:pt>
                <c:pt idx="20">
                  <c:v>0.009806602715135337</c:v>
                </c:pt>
                <c:pt idx="21">
                  <c:v>-0.02726960241377996</c:v>
                </c:pt>
                <c:pt idx="22">
                  <c:v>0.004197616353570632</c:v>
                </c:pt>
                <c:pt idx="23">
                  <c:v>-0.025247480761369845</c:v>
                </c:pt>
                <c:pt idx="24">
                  <c:v>0.0019253770530061054</c:v>
                </c:pt>
                <c:pt idx="25">
                  <c:v>-0.0015067695443296003</c:v>
                </c:pt>
                <c:pt idx="26">
                  <c:v>-0.006251230198362712</c:v>
                </c:pt>
                <c:pt idx="27">
                  <c:v>-0.10237280426657269</c:v>
                </c:pt>
                <c:pt idx="28">
                  <c:v>-0.04727015662734291</c:v>
                </c:pt>
                <c:pt idx="29">
                  <c:v>-0.033939087208828544</c:v>
                </c:pt>
                <c:pt idx="30">
                  <c:v>0.044401527259811724</c:v>
                </c:pt>
                <c:pt idx="31">
                  <c:v>0.003120204386140246</c:v>
                </c:pt>
                <c:pt idx="32">
                  <c:v>-0.04704311897446778</c:v>
                </c:pt>
                <c:pt idx="33">
                  <c:v>0.022136841075446778</c:v>
                </c:pt>
                <c:pt idx="34">
                  <c:v>-0.07939456693872571</c:v>
                </c:pt>
                <c:pt idx="35">
                  <c:v>0.034356790782739344</c:v>
                </c:pt>
                <c:pt idx="36">
                  <c:v>0.0007401552498480513</c:v>
                </c:pt>
                <c:pt idx="37">
                  <c:v>0.05035724884150938</c:v>
                </c:pt>
                <c:pt idx="38">
                  <c:v>0.0020733271032100653</c:v>
                </c:pt>
                <c:pt idx="39">
                  <c:v>0.04505903479626272</c:v>
                </c:pt>
                <c:pt idx="40">
                  <c:v>-0.019333416344996635</c:v>
                </c:pt>
                <c:pt idx="41">
                  <c:v>-0.03143834224961051</c:v>
                </c:pt>
                <c:pt idx="42">
                  <c:v>-0.021219695513100656</c:v>
                </c:pt>
                <c:pt idx="43">
                  <c:v>-0.033966105327071006</c:v>
                </c:pt>
                <c:pt idx="44">
                  <c:v>0.04348830760698763</c:v>
                </c:pt>
                <c:pt idx="45">
                  <c:v>-0.013738429514150274</c:v>
                </c:pt>
                <c:pt idx="46">
                  <c:v>-0.049778164966230776</c:v>
                </c:pt>
                <c:pt idx="47">
                  <c:v>0.024952387253488695</c:v>
                </c:pt>
                <c:pt idx="48">
                  <c:v>-0.011227251559596585</c:v>
                </c:pt>
                <c:pt idx="49">
                  <c:v>0.006038759979108965</c:v>
                </c:pt>
                <c:pt idx="50">
                  <c:v>0.004148454411035507</c:v>
                </c:pt>
                <c:pt idx="51">
                  <c:v>0.04368577996473366</c:v>
                </c:pt>
                <c:pt idx="52">
                  <c:v>0.020057319262987372</c:v>
                </c:pt>
                <c:pt idx="53">
                  <c:v>0.029526918924543732</c:v>
                </c:pt>
                <c:pt idx="54">
                  <c:v>-0.02084675738164732</c:v>
                </c:pt>
                <c:pt idx="55">
                  <c:v>0.020658331075239733</c:v>
                </c:pt>
                <c:pt idx="56">
                  <c:v>-0.025752212389380635</c:v>
                </c:pt>
                <c:pt idx="57">
                  <c:v>0.0038929187807379417</c:v>
                </c:pt>
                <c:pt idx="58">
                  <c:v>-0.015024408739750639</c:v>
                </c:pt>
                <c:pt idx="59">
                  <c:v>0.022703213445201653</c:v>
                </c:pt>
                <c:pt idx="60">
                  <c:v>-0.022917807281686242</c:v>
                </c:pt>
                <c:pt idx="61">
                  <c:v>0.0009587014192282695</c:v>
                </c:pt>
                <c:pt idx="62">
                  <c:v>-0.010137632132532826</c:v>
                </c:pt>
                <c:pt idx="63">
                  <c:v>-0.005929264143857638</c:v>
                </c:pt>
                <c:pt idx="64">
                  <c:v>-0.012453720782424349</c:v>
                </c:pt>
                <c:pt idx="65">
                  <c:v>0.010076915806670916</c:v>
                </c:pt>
                <c:pt idx="66">
                  <c:v>-0.015247515929243116</c:v>
                </c:pt>
                <c:pt idx="67">
                  <c:v>-0.014166907985231236</c:v>
                </c:pt>
                <c:pt idx="68">
                  <c:v>-0.054058023563754</c:v>
                </c:pt>
                <c:pt idx="69">
                  <c:v>-0.011552700401263327</c:v>
                </c:pt>
                <c:pt idx="70">
                  <c:v>0.016866452645323493</c:v>
                </c:pt>
                <c:pt idx="71">
                  <c:v>0.0397385519951341</c:v>
                </c:pt>
                <c:pt idx="72">
                  <c:v>0.03691976265866859</c:v>
                </c:pt>
                <c:pt idx="73">
                  <c:v>0.003926783619446761</c:v>
                </c:pt>
                <c:pt idx="74">
                  <c:v>0.014784916263407943</c:v>
                </c:pt>
                <c:pt idx="75">
                  <c:v>-0.0008877950160418591</c:v>
                </c:pt>
                <c:pt idx="76">
                  <c:v>-0.03601404138513531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'Statystki tyg'!$E$2</c:f>
              <c:strCache>
                <c:ptCount val="1"/>
                <c:pt idx="0">
                  <c:v>mWIG40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'Statystki tyg'!$A$4:$A$100</c:f>
              <c:strCache>
                <c:ptCount val="97"/>
                <c:pt idx="0">
                  <c:v>40571</c:v>
                </c:pt>
                <c:pt idx="1">
                  <c:v>40578</c:v>
                </c:pt>
                <c:pt idx="2">
                  <c:v>40585</c:v>
                </c:pt>
                <c:pt idx="3">
                  <c:v>40592</c:v>
                </c:pt>
                <c:pt idx="4">
                  <c:v>40599</c:v>
                </c:pt>
                <c:pt idx="5">
                  <c:v>40606</c:v>
                </c:pt>
                <c:pt idx="6">
                  <c:v>40613</c:v>
                </c:pt>
                <c:pt idx="7">
                  <c:v>40620</c:v>
                </c:pt>
                <c:pt idx="8">
                  <c:v>40627</c:v>
                </c:pt>
                <c:pt idx="9">
                  <c:v>40634</c:v>
                </c:pt>
                <c:pt idx="10">
                  <c:v>40641</c:v>
                </c:pt>
                <c:pt idx="11">
                  <c:v>40648</c:v>
                </c:pt>
                <c:pt idx="12">
                  <c:v>40655</c:v>
                </c:pt>
                <c:pt idx="13">
                  <c:v>40662</c:v>
                </c:pt>
                <c:pt idx="14">
                  <c:v>40669</c:v>
                </c:pt>
                <c:pt idx="15">
                  <c:v>40676</c:v>
                </c:pt>
                <c:pt idx="16">
                  <c:v>40683</c:v>
                </c:pt>
                <c:pt idx="17">
                  <c:v>40690</c:v>
                </c:pt>
                <c:pt idx="18">
                  <c:v>40697</c:v>
                </c:pt>
                <c:pt idx="19">
                  <c:v>40704</c:v>
                </c:pt>
                <c:pt idx="20">
                  <c:v>40711</c:v>
                </c:pt>
                <c:pt idx="21">
                  <c:v>40718</c:v>
                </c:pt>
                <c:pt idx="22">
                  <c:v>40725</c:v>
                </c:pt>
                <c:pt idx="23">
                  <c:v>40732</c:v>
                </c:pt>
                <c:pt idx="24">
                  <c:v>40739</c:v>
                </c:pt>
                <c:pt idx="25">
                  <c:v>40746</c:v>
                </c:pt>
                <c:pt idx="26">
                  <c:v>40753</c:v>
                </c:pt>
                <c:pt idx="27">
                  <c:v>40760</c:v>
                </c:pt>
                <c:pt idx="28">
                  <c:v>40767</c:v>
                </c:pt>
                <c:pt idx="29">
                  <c:v>40774</c:v>
                </c:pt>
                <c:pt idx="30">
                  <c:v>40781</c:v>
                </c:pt>
                <c:pt idx="31">
                  <c:v>40788</c:v>
                </c:pt>
                <c:pt idx="32">
                  <c:v>40795</c:v>
                </c:pt>
                <c:pt idx="33">
                  <c:v>40802</c:v>
                </c:pt>
                <c:pt idx="34">
                  <c:v>40809</c:v>
                </c:pt>
                <c:pt idx="35">
                  <c:v>40816</c:v>
                </c:pt>
                <c:pt idx="36">
                  <c:v>40823</c:v>
                </c:pt>
                <c:pt idx="37">
                  <c:v>40830</c:v>
                </c:pt>
                <c:pt idx="38">
                  <c:v>40837</c:v>
                </c:pt>
                <c:pt idx="39">
                  <c:v>40844</c:v>
                </c:pt>
                <c:pt idx="40">
                  <c:v>40851</c:v>
                </c:pt>
                <c:pt idx="41">
                  <c:v>40858</c:v>
                </c:pt>
                <c:pt idx="42">
                  <c:v>40865</c:v>
                </c:pt>
                <c:pt idx="43">
                  <c:v>40872</c:v>
                </c:pt>
                <c:pt idx="44">
                  <c:v>40879</c:v>
                </c:pt>
                <c:pt idx="45">
                  <c:v>40886</c:v>
                </c:pt>
                <c:pt idx="46">
                  <c:v>40893</c:v>
                </c:pt>
                <c:pt idx="47">
                  <c:v>40900</c:v>
                </c:pt>
                <c:pt idx="48">
                  <c:v>40907</c:v>
                </c:pt>
                <c:pt idx="49">
                  <c:v>40914</c:v>
                </c:pt>
                <c:pt idx="50">
                  <c:v>40921</c:v>
                </c:pt>
                <c:pt idx="51">
                  <c:v>40928</c:v>
                </c:pt>
                <c:pt idx="52">
                  <c:v>40935</c:v>
                </c:pt>
                <c:pt idx="53">
                  <c:v>40942</c:v>
                </c:pt>
                <c:pt idx="54">
                  <c:v>40949</c:v>
                </c:pt>
                <c:pt idx="55">
                  <c:v>40956</c:v>
                </c:pt>
                <c:pt idx="56">
                  <c:v>40963</c:v>
                </c:pt>
                <c:pt idx="57">
                  <c:v>40970</c:v>
                </c:pt>
                <c:pt idx="58">
                  <c:v>40977</c:v>
                </c:pt>
                <c:pt idx="59">
                  <c:v>40984</c:v>
                </c:pt>
                <c:pt idx="60">
                  <c:v>40991</c:v>
                </c:pt>
                <c:pt idx="61">
                  <c:v>40998</c:v>
                </c:pt>
                <c:pt idx="62">
                  <c:v>41005</c:v>
                </c:pt>
                <c:pt idx="63">
                  <c:v>41012</c:v>
                </c:pt>
                <c:pt idx="64">
                  <c:v>41019</c:v>
                </c:pt>
                <c:pt idx="65">
                  <c:v>41026</c:v>
                </c:pt>
                <c:pt idx="66">
                  <c:v>41033</c:v>
                </c:pt>
                <c:pt idx="67">
                  <c:v>41040</c:v>
                </c:pt>
                <c:pt idx="68">
                  <c:v>41047</c:v>
                </c:pt>
                <c:pt idx="69">
                  <c:v>41054</c:v>
                </c:pt>
                <c:pt idx="70">
                  <c:v>41061</c:v>
                </c:pt>
                <c:pt idx="71">
                  <c:v>41068</c:v>
                </c:pt>
                <c:pt idx="72">
                  <c:v>41075</c:v>
                </c:pt>
                <c:pt idx="73">
                  <c:v>41082</c:v>
                </c:pt>
                <c:pt idx="74">
                  <c:v>41089</c:v>
                </c:pt>
                <c:pt idx="75">
                  <c:v>41096</c:v>
                </c:pt>
                <c:pt idx="76">
                  <c:v>41103</c:v>
                </c:pt>
              </c:strCache>
            </c:strRef>
          </c:cat>
          <c:val>
            <c:numRef>
              <c:f>'Statystki tyg'!$E$4:$E$100</c:f>
              <c:numCache>
                <c:ptCount val="97"/>
                <c:pt idx="0">
                  <c:v>-0.0053927850434477564</c:v>
                </c:pt>
                <c:pt idx="1">
                  <c:v>0.010325144993275526</c:v>
                </c:pt>
                <c:pt idx="2">
                  <c:v>-0.0018447734911638536</c:v>
                </c:pt>
                <c:pt idx="3">
                  <c:v>-0.01513549841434314</c:v>
                </c:pt>
                <c:pt idx="4">
                  <c:v>0.005228140260589598</c:v>
                </c:pt>
                <c:pt idx="5">
                  <c:v>0.022592837469460836</c:v>
                </c:pt>
                <c:pt idx="6">
                  <c:v>-0.01230192619535786</c:v>
                </c:pt>
                <c:pt idx="7">
                  <c:v>-0.003966184166768749</c:v>
                </c:pt>
                <c:pt idx="8">
                  <c:v>0.01623367494693051</c:v>
                </c:pt>
                <c:pt idx="9">
                  <c:v>0.010748709151965574</c:v>
                </c:pt>
                <c:pt idx="10">
                  <c:v>0.015417831444027419</c:v>
                </c:pt>
                <c:pt idx="11">
                  <c:v>-0.004592859670109362</c:v>
                </c:pt>
                <c:pt idx="12">
                  <c:v>0.0003215956560889133</c:v>
                </c:pt>
                <c:pt idx="13">
                  <c:v>-0.005059273021384203</c:v>
                </c:pt>
                <c:pt idx="14">
                  <c:v>-0.00536731042645977</c:v>
                </c:pt>
                <c:pt idx="15">
                  <c:v>-0.012092030749869975</c:v>
                </c:pt>
                <c:pt idx="16">
                  <c:v>0.005472709146797428</c:v>
                </c:pt>
                <c:pt idx="17">
                  <c:v>0.011267983846813268</c:v>
                </c:pt>
                <c:pt idx="18">
                  <c:v>-0.0023115523146162165</c:v>
                </c:pt>
                <c:pt idx="19">
                  <c:v>-0.011683494675206463</c:v>
                </c:pt>
                <c:pt idx="20">
                  <c:v>0.00024858530791793676</c:v>
                </c:pt>
                <c:pt idx="21">
                  <c:v>-0.007921687474759409</c:v>
                </c:pt>
                <c:pt idx="22">
                  <c:v>-0.007957107467920999</c:v>
                </c:pt>
                <c:pt idx="23">
                  <c:v>-0.018044464084677414</c:v>
                </c:pt>
                <c:pt idx="24">
                  <c:v>-0.004225241442368133</c:v>
                </c:pt>
                <c:pt idx="25">
                  <c:v>-0.010487767260519254</c:v>
                </c:pt>
                <c:pt idx="26">
                  <c:v>-0.00801444121836914</c:v>
                </c:pt>
                <c:pt idx="27">
                  <c:v>-0.1249771619419292</c:v>
                </c:pt>
                <c:pt idx="28">
                  <c:v>-0.05121020278622246</c:v>
                </c:pt>
                <c:pt idx="29">
                  <c:v>-0.022055360671828117</c:v>
                </c:pt>
                <c:pt idx="30">
                  <c:v>0.0495161798460777</c:v>
                </c:pt>
                <c:pt idx="31">
                  <c:v>-0.015232083433393884</c:v>
                </c:pt>
                <c:pt idx="32">
                  <c:v>-0.04952969865877033</c:v>
                </c:pt>
                <c:pt idx="33">
                  <c:v>-0.0093555569809316</c:v>
                </c:pt>
                <c:pt idx="34">
                  <c:v>-0.03258195204972614</c:v>
                </c:pt>
                <c:pt idx="35">
                  <c:v>0.037140439527868496</c:v>
                </c:pt>
                <c:pt idx="36">
                  <c:v>-0.011021074174456524</c:v>
                </c:pt>
                <c:pt idx="37">
                  <c:v>0.053738633556583926</c:v>
                </c:pt>
                <c:pt idx="38">
                  <c:v>-8.40384453772991E-05</c:v>
                </c:pt>
                <c:pt idx="39">
                  <c:v>0.033463382699010946</c:v>
                </c:pt>
                <c:pt idx="40">
                  <c:v>-0.02225712977190719</c:v>
                </c:pt>
                <c:pt idx="41">
                  <c:v>-0.013470032788607589</c:v>
                </c:pt>
                <c:pt idx="42">
                  <c:v>-0.019848595111734313</c:v>
                </c:pt>
                <c:pt idx="43">
                  <c:v>-0.05439078607226444</c:v>
                </c:pt>
                <c:pt idx="44">
                  <c:v>0.04747952065648797</c:v>
                </c:pt>
                <c:pt idx="45">
                  <c:v>-0.006270967977841435</c:v>
                </c:pt>
                <c:pt idx="46">
                  <c:v>-0.02983708500832505</c:v>
                </c:pt>
                <c:pt idx="47">
                  <c:v>0.020149151128115328</c:v>
                </c:pt>
                <c:pt idx="48">
                  <c:v>0.010279909098091178</c:v>
                </c:pt>
                <c:pt idx="49">
                  <c:v>-0.006513669044891812</c:v>
                </c:pt>
                <c:pt idx="50">
                  <c:v>0.011431984553624819</c:v>
                </c:pt>
                <c:pt idx="51">
                  <c:v>0.031843693062689304</c:v>
                </c:pt>
                <c:pt idx="52">
                  <c:v>0.033043771462035965</c:v>
                </c:pt>
                <c:pt idx="53">
                  <c:v>0.03168188416378204</c:v>
                </c:pt>
                <c:pt idx="54">
                  <c:v>0.003063819867373363</c:v>
                </c:pt>
                <c:pt idx="55">
                  <c:v>0.029847401425138642</c:v>
                </c:pt>
                <c:pt idx="56">
                  <c:v>-0.004896212386812926</c:v>
                </c:pt>
                <c:pt idx="57">
                  <c:v>-0.002867139663718543</c:v>
                </c:pt>
                <c:pt idx="58">
                  <c:v>0.008642396478060865</c:v>
                </c:pt>
                <c:pt idx="59">
                  <c:v>0.03155953550548407</c:v>
                </c:pt>
                <c:pt idx="60">
                  <c:v>-0.024742968219396144</c:v>
                </c:pt>
                <c:pt idx="61">
                  <c:v>0.002037181565307744</c:v>
                </c:pt>
                <c:pt idx="62">
                  <c:v>-0.010760332955217278</c:v>
                </c:pt>
                <c:pt idx="63">
                  <c:v>-0.001594864133726226</c:v>
                </c:pt>
                <c:pt idx="64">
                  <c:v>-0.012516429076938507</c:v>
                </c:pt>
                <c:pt idx="65">
                  <c:v>-0.01474731755262515</c:v>
                </c:pt>
                <c:pt idx="66">
                  <c:v>0.007448696685911971</c:v>
                </c:pt>
                <c:pt idx="67">
                  <c:v>-0.01833965284625627</c:v>
                </c:pt>
                <c:pt idx="68">
                  <c:v>-0.04702722695291828</c:v>
                </c:pt>
                <c:pt idx="69">
                  <c:v>-0.009597022100495178</c:v>
                </c:pt>
                <c:pt idx="70">
                  <c:v>-0.018502767622160632</c:v>
                </c:pt>
                <c:pt idx="71">
                  <c:v>0.002400116149288145</c:v>
                </c:pt>
                <c:pt idx="72">
                  <c:v>0.010260936474528748</c:v>
                </c:pt>
                <c:pt idx="73">
                  <c:v>0.015927276637306198</c:v>
                </c:pt>
                <c:pt idx="74">
                  <c:v>0.014341343376389704</c:v>
                </c:pt>
                <c:pt idx="75">
                  <c:v>-0.006612784717119791</c:v>
                </c:pt>
                <c:pt idx="76">
                  <c:v>-0.021033927383494966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'Statystki tyg'!$F$2</c:f>
              <c:strCache>
                <c:ptCount val="1"/>
                <c:pt idx="0">
                  <c:v>sWIG80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'Statystki tyg'!$A$4:$A$100</c:f>
              <c:strCache>
                <c:ptCount val="97"/>
                <c:pt idx="0">
                  <c:v>40571</c:v>
                </c:pt>
                <c:pt idx="1">
                  <c:v>40578</c:v>
                </c:pt>
                <c:pt idx="2">
                  <c:v>40585</c:v>
                </c:pt>
                <c:pt idx="3">
                  <c:v>40592</c:v>
                </c:pt>
                <c:pt idx="4">
                  <c:v>40599</c:v>
                </c:pt>
                <c:pt idx="5">
                  <c:v>40606</c:v>
                </c:pt>
                <c:pt idx="6">
                  <c:v>40613</c:v>
                </c:pt>
                <c:pt idx="7">
                  <c:v>40620</c:v>
                </c:pt>
                <c:pt idx="8">
                  <c:v>40627</c:v>
                </c:pt>
                <c:pt idx="9">
                  <c:v>40634</c:v>
                </c:pt>
                <c:pt idx="10">
                  <c:v>40641</c:v>
                </c:pt>
                <c:pt idx="11">
                  <c:v>40648</c:v>
                </c:pt>
                <c:pt idx="12">
                  <c:v>40655</c:v>
                </c:pt>
                <c:pt idx="13">
                  <c:v>40662</c:v>
                </c:pt>
                <c:pt idx="14">
                  <c:v>40669</c:v>
                </c:pt>
                <c:pt idx="15">
                  <c:v>40676</c:v>
                </c:pt>
                <c:pt idx="16">
                  <c:v>40683</c:v>
                </c:pt>
                <c:pt idx="17">
                  <c:v>40690</c:v>
                </c:pt>
                <c:pt idx="18">
                  <c:v>40697</c:v>
                </c:pt>
                <c:pt idx="19">
                  <c:v>40704</c:v>
                </c:pt>
                <c:pt idx="20">
                  <c:v>40711</c:v>
                </c:pt>
                <c:pt idx="21">
                  <c:v>40718</c:v>
                </c:pt>
                <c:pt idx="22">
                  <c:v>40725</c:v>
                </c:pt>
                <c:pt idx="23">
                  <c:v>40732</c:v>
                </c:pt>
                <c:pt idx="24">
                  <c:v>40739</c:v>
                </c:pt>
                <c:pt idx="25">
                  <c:v>40746</c:v>
                </c:pt>
                <c:pt idx="26">
                  <c:v>40753</c:v>
                </c:pt>
                <c:pt idx="27">
                  <c:v>40760</c:v>
                </c:pt>
                <c:pt idx="28">
                  <c:v>40767</c:v>
                </c:pt>
                <c:pt idx="29">
                  <c:v>40774</c:v>
                </c:pt>
                <c:pt idx="30">
                  <c:v>40781</c:v>
                </c:pt>
                <c:pt idx="31">
                  <c:v>40788</c:v>
                </c:pt>
                <c:pt idx="32">
                  <c:v>40795</c:v>
                </c:pt>
                <c:pt idx="33">
                  <c:v>40802</c:v>
                </c:pt>
                <c:pt idx="34">
                  <c:v>40809</c:v>
                </c:pt>
                <c:pt idx="35">
                  <c:v>40816</c:v>
                </c:pt>
                <c:pt idx="36">
                  <c:v>40823</c:v>
                </c:pt>
                <c:pt idx="37">
                  <c:v>40830</c:v>
                </c:pt>
                <c:pt idx="38">
                  <c:v>40837</c:v>
                </c:pt>
                <c:pt idx="39">
                  <c:v>40844</c:v>
                </c:pt>
                <c:pt idx="40">
                  <c:v>40851</c:v>
                </c:pt>
                <c:pt idx="41">
                  <c:v>40858</c:v>
                </c:pt>
                <c:pt idx="42">
                  <c:v>40865</c:v>
                </c:pt>
                <c:pt idx="43">
                  <c:v>40872</c:v>
                </c:pt>
                <c:pt idx="44">
                  <c:v>40879</c:v>
                </c:pt>
                <c:pt idx="45">
                  <c:v>40886</c:v>
                </c:pt>
                <c:pt idx="46">
                  <c:v>40893</c:v>
                </c:pt>
                <c:pt idx="47">
                  <c:v>40900</c:v>
                </c:pt>
                <c:pt idx="48">
                  <c:v>40907</c:v>
                </c:pt>
                <c:pt idx="49">
                  <c:v>40914</c:v>
                </c:pt>
                <c:pt idx="50">
                  <c:v>40921</c:v>
                </c:pt>
                <c:pt idx="51">
                  <c:v>40928</c:v>
                </c:pt>
                <c:pt idx="52">
                  <c:v>40935</c:v>
                </c:pt>
                <c:pt idx="53">
                  <c:v>40942</c:v>
                </c:pt>
                <c:pt idx="54">
                  <c:v>40949</c:v>
                </c:pt>
                <c:pt idx="55">
                  <c:v>40956</c:v>
                </c:pt>
                <c:pt idx="56">
                  <c:v>40963</c:v>
                </c:pt>
                <c:pt idx="57">
                  <c:v>40970</c:v>
                </c:pt>
                <c:pt idx="58">
                  <c:v>40977</c:v>
                </c:pt>
                <c:pt idx="59">
                  <c:v>40984</c:v>
                </c:pt>
                <c:pt idx="60">
                  <c:v>40991</c:v>
                </c:pt>
                <c:pt idx="61">
                  <c:v>40998</c:v>
                </c:pt>
                <c:pt idx="62">
                  <c:v>41005</c:v>
                </c:pt>
                <c:pt idx="63">
                  <c:v>41012</c:v>
                </c:pt>
                <c:pt idx="64">
                  <c:v>41019</c:v>
                </c:pt>
                <c:pt idx="65">
                  <c:v>41026</c:v>
                </c:pt>
                <c:pt idx="66">
                  <c:v>41033</c:v>
                </c:pt>
                <c:pt idx="67">
                  <c:v>41040</c:v>
                </c:pt>
                <c:pt idx="68">
                  <c:v>41047</c:v>
                </c:pt>
                <c:pt idx="69">
                  <c:v>41054</c:v>
                </c:pt>
                <c:pt idx="70">
                  <c:v>41061</c:v>
                </c:pt>
                <c:pt idx="71">
                  <c:v>41068</c:v>
                </c:pt>
                <c:pt idx="72">
                  <c:v>41075</c:v>
                </c:pt>
                <c:pt idx="73">
                  <c:v>41082</c:v>
                </c:pt>
                <c:pt idx="74">
                  <c:v>41089</c:v>
                </c:pt>
                <c:pt idx="75">
                  <c:v>41096</c:v>
                </c:pt>
                <c:pt idx="76">
                  <c:v>41103</c:v>
                </c:pt>
              </c:strCache>
            </c:strRef>
          </c:cat>
          <c:val>
            <c:numRef>
              <c:f>'Statystki tyg'!$F$4:$F$100</c:f>
              <c:numCache>
                <c:ptCount val="97"/>
                <c:pt idx="0">
                  <c:v>-0.00443343340579061</c:v>
                </c:pt>
                <c:pt idx="1">
                  <c:v>0.007740553940573491</c:v>
                </c:pt>
                <c:pt idx="2">
                  <c:v>-0.002877560923052802</c:v>
                </c:pt>
                <c:pt idx="3">
                  <c:v>0.01103869062641949</c:v>
                </c:pt>
                <c:pt idx="4">
                  <c:v>-0.007770496918636405</c:v>
                </c:pt>
                <c:pt idx="5">
                  <c:v>0.006865895298437952</c:v>
                </c:pt>
                <c:pt idx="6">
                  <c:v>-0.01273862472202092</c:v>
                </c:pt>
                <c:pt idx="7">
                  <c:v>-0.006421440762821917</c:v>
                </c:pt>
                <c:pt idx="8">
                  <c:v>0.012253241620424182</c:v>
                </c:pt>
                <c:pt idx="9">
                  <c:v>0.005677743246473854</c:v>
                </c:pt>
                <c:pt idx="10">
                  <c:v>0.004389092717530962</c:v>
                </c:pt>
                <c:pt idx="11">
                  <c:v>-0.008292946868929896</c:v>
                </c:pt>
                <c:pt idx="12">
                  <c:v>0.004920659468854449</c:v>
                </c:pt>
                <c:pt idx="13">
                  <c:v>0.0072089188106065905</c:v>
                </c:pt>
                <c:pt idx="14">
                  <c:v>-0.008325389801824068</c:v>
                </c:pt>
                <c:pt idx="15">
                  <c:v>-0.018354026944058854</c:v>
                </c:pt>
                <c:pt idx="16">
                  <c:v>-0.009197614866609083</c:v>
                </c:pt>
                <c:pt idx="17">
                  <c:v>0.006022207140123248</c:v>
                </c:pt>
                <c:pt idx="18">
                  <c:v>0.010316109709180843</c:v>
                </c:pt>
                <c:pt idx="19">
                  <c:v>-0.017722884998643162</c:v>
                </c:pt>
                <c:pt idx="20">
                  <c:v>-0.01849853168357818</c:v>
                </c:pt>
                <c:pt idx="21">
                  <c:v>-0.013892273945893208</c:v>
                </c:pt>
                <c:pt idx="22">
                  <c:v>0.00559807999254347</c:v>
                </c:pt>
                <c:pt idx="23">
                  <c:v>-0.03483480898948921</c:v>
                </c:pt>
                <c:pt idx="24">
                  <c:v>-0.002806322585623855</c:v>
                </c:pt>
                <c:pt idx="25">
                  <c:v>-0.025463834733994717</c:v>
                </c:pt>
                <c:pt idx="26">
                  <c:v>-0.0180182405790682</c:v>
                </c:pt>
                <c:pt idx="27">
                  <c:v>-0.1095540371164031</c:v>
                </c:pt>
                <c:pt idx="28">
                  <c:v>-0.06807708568562931</c:v>
                </c:pt>
                <c:pt idx="29">
                  <c:v>-0.011996730133122635</c:v>
                </c:pt>
                <c:pt idx="30">
                  <c:v>0.03697513986224754</c:v>
                </c:pt>
                <c:pt idx="31">
                  <c:v>-0.02667596658370719</c:v>
                </c:pt>
                <c:pt idx="32">
                  <c:v>-0.041245251101245106</c:v>
                </c:pt>
                <c:pt idx="33">
                  <c:v>-0.013691711135472073</c:v>
                </c:pt>
                <c:pt idx="34">
                  <c:v>-0.024816115261227845</c:v>
                </c:pt>
                <c:pt idx="35">
                  <c:v>0.03686155751766451</c:v>
                </c:pt>
                <c:pt idx="36">
                  <c:v>-0.00873361949535556</c:v>
                </c:pt>
                <c:pt idx="37">
                  <c:v>0.03595137748889088</c:v>
                </c:pt>
                <c:pt idx="38">
                  <c:v>-0.007926467856226638</c:v>
                </c:pt>
                <c:pt idx="39">
                  <c:v>0.02051510125464806</c:v>
                </c:pt>
                <c:pt idx="40">
                  <c:v>-0.0015291371625112404</c:v>
                </c:pt>
                <c:pt idx="41">
                  <c:v>-0.010395460696232317</c:v>
                </c:pt>
                <c:pt idx="42">
                  <c:v>-0.011293920494867438</c:v>
                </c:pt>
                <c:pt idx="43">
                  <c:v>-0.045785635304758765</c:v>
                </c:pt>
                <c:pt idx="44">
                  <c:v>0.018545315222319836</c:v>
                </c:pt>
                <c:pt idx="45">
                  <c:v>-0.01723905878834231</c:v>
                </c:pt>
                <c:pt idx="46">
                  <c:v>-0.02321615228035434</c:v>
                </c:pt>
                <c:pt idx="47">
                  <c:v>0.011995422326344984</c:v>
                </c:pt>
                <c:pt idx="48">
                  <c:v>0.0061089763704935685</c:v>
                </c:pt>
                <c:pt idx="49">
                  <c:v>0.012380333641693886</c:v>
                </c:pt>
                <c:pt idx="50">
                  <c:v>0.01299738540967943</c:v>
                </c:pt>
                <c:pt idx="51">
                  <c:v>0.029866196593114402</c:v>
                </c:pt>
                <c:pt idx="52">
                  <c:v>0.03642393330785154</c:v>
                </c:pt>
                <c:pt idx="53">
                  <c:v>0.038026456272317155</c:v>
                </c:pt>
                <c:pt idx="54">
                  <c:v>0.01732802999699623</c:v>
                </c:pt>
                <c:pt idx="55">
                  <c:v>0.06174865780387884</c:v>
                </c:pt>
                <c:pt idx="56">
                  <c:v>-0.0021528453039202367</c:v>
                </c:pt>
                <c:pt idx="57">
                  <c:v>-0.00850887165673142</c:v>
                </c:pt>
                <c:pt idx="58">
                  <c:v>0.005758417845376673</c:v>
                </c:pt>
                <c:pt idx="59">
                  <c:v>0.015086040738285122</c:v>
                </c:pt>
                <c:pt idx="60">
                  <c:v>-0.029867977085394348</c:v>
                </c:pt>
                <c:pt idx="61">
                  <c:v>0.004309863951569737</c:v>
                </c:pt>
                <c:pt idx="62">
                  <c:v>-0.01642880946673586</c:v>
                </c:pt>
                <c:pt idx="63">
                  <c:v>0.0018506299869425202</c:v>
                </c:pt>
                <c:pt idx="64">
                  <c:v>-0.013695866715978333</c:v>
                </c:pt>
                <c:pt idx="65">
                  <c:v>-0.014756307373942734</c:v>
                </c:pt>
                <c:pt idx="66">
                  <c:v>0.003904604319182159</c:v>
                </c:pt>
                <c:pt idx="67">
                  <c:v>-0.019619410799342707</c:v>
                </c:pt>
                <c:pt idx="68">
                  <c:v>-0.049182768660667064</c:v>
                </c:pt>
                <c:pt idx="69">
                  <c:v>-0.008572205306655034</c:v>
                </c:pt>
                <c:pt idx="70">
                  <c:v>0.008873367503293261</c:v>
                </c:pt>
                <c:pt idx="71">
                  <c:v>0.004865151058863537</c:v>
                </c:pt>
                <c:pt idx="72">
                  <c:v>0.010468666489231726</c:v>
                </c:pt>
                <c:pt idx="73">
                  <c:v>0.012283207596058832</c:v>
                </c:pt>
                <c:pt idx="74">
                  <c:v>0.006967200110002958</c:v>
                </c:pt>
                <c:pt idx="75">
                  <c:v>0.0017426159406817021</c:v>
                </c:pt>
                <c:pt idx="76">
                  <c:v>-0.011524878470256184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'Statystki tyg'!$G$2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'Statystki tyg'!$A$4:$A$100</c:f>
              <c:strCache>
                <c:ptCount val="97"/>
                <c:pt idx="0">
                  <c:v>40571</c:v>
                </c:pt>
                <c:pt idx="1">
                  <c:v>40578</c:v>
                </c:pt>
                <c:pt idx="2">
                  <c:v>40585</c:v>
                </c:pt>
                <c:pt idx="3">
                  <c:v>40592</c:v>
                </c:pt>
                <c:pt idx="4">
                  <c:v>40599</c:v>
                </c:pt>
                <c:pt idx="5">
                  <c:v>40606</c:v>
                </c:pt>
                <c:pt idx="6">
                  <c:v>40613</c:v>
                </c:pt>
                <c:pt idx="7">
                  <c:v>40620</c:v>
                </c:pt>
                <c:pt idx="8">
                  <c:v>40627</c:v>
                </c:pt>
                <c:pt idx="9">
                  <c:v>40634</c:v>
                </c:pt>
                <c:pt idx="10">
                  <c:v>40641</c:v>
                </c:pt>
                <c:pt idx="11">
                  <c:v>40648</c:v>
                </c:pt>
                <c:pt idx="12">
                  <c:v>40655</c:v>
                </c:pt>
                <c:pt idx="13">
                  <c:v>40662</c:v>
                </c:pt>
                <c:pt idx="14">
                  <c:v>40669</c:v>
                </c:pt>
                <c:pt idx="15">
                  <c:v>40676</c:v>
                </c:pt>
                <c:pt idx="16">
                  <c:v>40683</c:v>
                </c:pt>
                <c:pt idx="17">
                  <c:v>40690</c:v>
                </c:pt>
                <c:pt idx="18">
                  <c:v>40697</c:v>
                </c:pt>
                <c:pt idx="19">
                  <c:v>40704</c:v>
                </c:pt>
                <c:pt idx="20">
                  <c:v>40711</c:v>
                </c:pt>
                <c:pt idx="21">
                  <c:v>40718</c:v>
                </c:pt>
                <c:pt idx="22">
                  <c:v>40725</c:v>
                </c:pt>
                <c:pt idx="23">
                  <c:v>40732</c:v>
                </c:pt>
                <c:pt idx="24">
                  <c:v>40739</c:v>
                </c:pt>
                <c:pt idx="25">
                  <c:v>40746</c:v>
                </c:pt>
                <c:pt idx="26">
                  <c:v>40753</c:v>
                </c:pt>
                <c:pt idx="27">
                  <c:v>40760</c:v>
                </c:pt>
                <c:pt idx="28">
                  <c:v>40767</c:v>
                </c:pt>
                <c:pt idx="29">
                  <c:v>40774</c:v>
                </c:pt>
                <c:pt idx="30">
                  <c:v>40781</c:v>
                </c:pt>
                <c:pt idx="31">
                  <c:v>40788</c:v>
                </c:pt>
                <c:pt idx="32">
                  <c:v>40795</c:v>
                </c:pt>
                <c:pt idx="33">
                  <c:v>40802</c:v>
                </c:pt>
                <c:pt idx="34">
                  <c:v>40809</c:v>
                </c:pt>
                <c:pt idx="35">
                  <c:v>40816</c:v>
                </c:pt>
                <c:pt idx="36">
                  <c:v>40823</c:v>
                </c:pt>
                <c:pt idx="37">
                  <c:v>40830</c:v>
                </c:pt>
                <c:pt idx="38">
                  <c:v>40837</c:v>
                </c:pt>
                <c:pt idx="39">
                  <c:v>40844</c:v>
                </c:pt>
                <c:pt idx="40">
                  <c:v>40851</c:v>
                </c:pt>
                <c:pt idx="41">
                  <c:v>40858</c:v>
                </c:pt>
                <c:pt idx="42">
                  <c:v>40865</c:v>
                </c:pt>
                <c:pt idx="43">
                  <c:v>40872</c:v>
                </c:pt>
                <c:pt idx="44">
                  <c:v>40879</c:v>
                </c:pt>
                <c:pt idx="45">
                  <c:v>40886</c:v>
                </c:pt>
                <c:pt idx="46">
                  <c:v>40893</c:v>
                </c:pt>
                <c:pt idx="47">
                  <c:v>40900</c:v>
                </c:pt>
                <c:pt idx="48">
                  <c:v>40907</c:v>
                </c:pt>
                <c:pt idx="49">
                  <c:v>40914</c:v>
                </c:pt>
                <c:pt idx="50">
                  <c:v>40921</c:v>
                </c:pt>
                <c:pt idx="51">
                  <c:v>40928</c:v>
                </c:pt>
                <c:pt idx="52">
                  <c:v>40935</c:v>
                </c:pt>
                <c:pt idx="53">
                  <c:v>40942</c:v>
                </c:pt>
                <c:pt idx="54">
                  <c:v>40949</c:v>
                </c:pt>
                <c:pt idx="55">
                  <c:v>40956</c:v>
                </c:pt>
                <c:pt idx="56">
                  <c:v>40963</c:v>
                </c:pt>
                <c:pt idx="57">
                  <c:v>40970</c:v>
                </c:pt>
                <c:pt idx="58">
                  <c:v>40977</c:v>
                </c:pt>
                <c:pt idx="59">
                  <c:v>40984</c:v>
                </c:pt>
                <c:pt idx="60">
                  <c:v>40991</c:v>
                </c:pt>
                <c:pt idx="61">
                  <c:v>40998</c:v>
                </c:pt>
                <c:pt idx="62">
                  <c:v>41005</c:v>
                </c:pt>
                <c:pt idx="63">
                  <c:v>41012</c:v>
                </c:pt>
                <c:pt idx="64">
                  <c:v>41019</c:v>
                </c:pt>
                <c:pt idx="65">
                  <c:v>41026</c:v>
                </c:pt>
                <c:pt idx="66">
                  <c:v>41033</c:v>
                </c:pt>
                <c:pt idx="67">
                  <c:v>41040</c:v>
                </c:pt>
                <c:pt idx="68">
                  <c:v>41047</c:v>
                </c:pt>
                <c:pt idx="69">
                  <c:v>41054</c:v>
                </c:pt>
                <c:pt idx="70">
                  <c:v>41061</c:v>
                </c:pt>
                <c:pt idx="71">
                  <c:v>41068</c:v>
                </c:pt>
                <c:pt idx="72">
                  <c:v>41075</c:v>
                </c:pt>
                <c:pt idx="73">
                  <c:v>41082</c:v>
                </c:pt>
                <c:pt idx="74">
                  <c:v>41089</c:v>
                </c:pt>
                <c:pt idx="75">
                  <c:v>41096</c:v>
                </c:pt>
                <c:pt idx="76">
                  <c:v>41103</c:v>
                </c:pt>
              </c:strCache>
            </c:strRef>
          </c:cat>
          <c:val>
            <c:numRef>
              <c:f>'Statystki tyg'!$G$4:$G$100</c:f>
              <c:numCache>
                <c:ptCount val="97"/>
                <c:pt idx="0">
                  <c:v>-0.008782691871339732</c:v>
                </c:pt>
                <c:pt idx="1">
                  <c:v>0.012141962149384344</c:v>
                </c:pt>
                <c:pt idx="2">
                  <c:v>-0.0072486645957989815</c:v>
                </c:pt>
                <c:pt idx="3">
                  <c:v>-0.014510031943145152</c:v>
                </c:pt>
                <c:pt idx="4">
                  <c:v>0.0024096782326801236</c:v>
                </c:pt>
                <c:pt idx="5">
                  <c:v>0.030329109182019698</c:v>
                </c:pt>
                <c:pt idx="6">
                  <c:v>-0.012544165367725846</c:v>
                </c:pt>
                <c:pt idx="7">
                  <c:v>0.006730561357502607</c:v>
                </c:pt>
                <c:pt idx="8">
                  <c:v>0.01281667021099997</c:v>
                </c:pt>
                <c:pt idx="9">
                  <c:v>0.018037376931184124</c:v>
                </c:pt>
                <c:pt idx="10">
                  <c:v>0.009753079287175392</c:v>
                </c:pt>
                <c:pt idx="11">
                  <c:v>0.0006033671326957091</c:v>
                </c:pt>
                <c:pt idx="12">
                  <c:v>-0.0009996739063717897</c:v>
                </c:pt>
                <c:pt idx="13">
                  <c:v>0.0008539754086305251</c:v>
                </c:pt>
                <c:pt idx="14">
                  <c:v>-0.013746531123010386</c:v>
                </c:pt>
                <c:pt idx="15">
                  <c:v>-0.013055556062433582</c:v>
                </c:pt>
                <c:pt idx="16">
                  <c:v>0.003723066929538943</c:v>
                </c:pt>
                <c:pt idx="17">
                  <c:v>0.011601380630403835</c:v>
                </c:pt>
                <c:pt idx="18">
                  <c:v>0.004313750324477228</c:v>
                </c:pt>
                <c:pt idx="19">
                  <c:v>-0.011307064140045009</c:v>
                </c:pt>
                <c:pt idx="20">
                  <c:v>0.005619466799626105</c:v>
                </c:pt>
                <c:pt idx="21">
                  <c:v>-0.01943898495341767</c:v>
                </c:pt>
                <c:pt idx="22">
                  <c:v>0.0032477153168926076</c:v>
                </c:pt>
                <c:pt idx="23">
                  <c:v>-0.016123394709789962</c:v>
                </c:pt>
                <c:pt idx="24">
                  <c:v>0.00036572309967386474</c:v>
                </c:pt>
                <c:pt idx="25">
                  <c:v>-0.005944646793977659</c:v>
                </c:pt>
                <c:pt idx="26">
                  <c:v>-0.007350250874809339</c:v>
                </c:pt>
                <c:pt idx="27">
                  <c:v>-0.10903527544486902</c:v>
                </c:pt>
                <c:pt idx="28">
                  <c:v>-0.04999556072135791</c:v>
                </c:pt>
                <c:pt idx="29">
                  <c:v>-0.029098280045952163</c:v>
                </c:pt>
                <c:pt idx="30">
                  <c:v>0.05074218811492548</c:v>
                </c:pt>
                <c:pt idx="31">
                  <c:v>-0.00421383809990461</c:v>
                </c:pt>
                <c:pt idx="32">
                  <c:v>-0.045276670346593884</c:v>
                </c:pt>
                <c:pt idx="33">
                  <c:v>0.014103595147017867</c:v>
                </c:pt>
                <c:pt idx="34">
                  <c:v>-0.062490669859506576</c:v>
                </c:pt>
                <c:pt idx="35">
                  <c:v>0.03987042905363003</c:v>
                </c:pt>
                <c:pt idx="36">
                  <c:v>-0.002452653927813131</c:v>
                </c:pt>
                <c:pt idx="37">
                  <c:v>0.04850675404696636</c:v>
                </c:pt>
                <c:pt idx="38">
                  <c:v>0.0006937881105655297</c:v>
                </c:pt>
                <c:pt idx="39">
                  <c:v>0.040735100263641355</c:v>
                </c:pt>
                <c:pt idx="40">
                  <c:v>-0.01862039120069503</c:v>
                </c:pt>
                <c:pt idx="41">
                  <c:v>-0.025828279329578874</c:v>
                </c:pt>
                <c:pt idx="42">
                  <c:v>-0.01874254450962254</c:v>
                </c:pt>
                <c:pt idx="43">
                  <c:v>-0.03847647804454701</c:v>
                </c:pt>
                <c:pt idx="44">
                  <c:v>0.04102436175520374</c:v>
                </c:pt>
                <c:pt idx="45">
                  <c:v>-0.012951363856761211</c:v>
                </c:pt>
                <c:pt idx="46">
                  <c:v>-0.04233436351575437</c:v>
                </c:pt>
                <c:pt idx="47">
                  <c:v>0.021273737895419975</c:v>
                </c:pt>
                <c:pt idx="48">
                  <c:v>-0.005112910887263733</c:v>
                </c:pt>
                <c:pt idx="49">
                  <c:v>0.00382892180541039</c:v>
                </c:pt>
                <c:pt idx="50">
                  <c:v>0.006691152135739342</c:v>
                </c:pt>
                <c:pt idx="51">
                  <c:v>0.04019171449921832</c:v>
                </c:pt>
                <c:pt idx="52">
                  <c:v>0.02401510974377552</c:v>
                </c:pt>
                <c:pt idx="53">
                  <c:v>0.03124400759910584</c:v>
                </c:pt>
                <c:pt idx="54">
                  <c:v>-0.01228952154566132</c:v>
                </c:pt>
                <c:pt idx="55">
                  <c:v>0.022852572197141097</c:v>
                </c:pt>
                <c:pt idx="56">
                  <c:v>-0.015700854335956582</c:v>
                </c:pt>
                <c:pt idx="57">
                  <c:v>0.0008298909165740387</c:v>
                </c:pt>
                <c:pt idx="58">
                  <c:v>-0.007160661888718889</c:v>
                </c:pt>
                <c:pt idx="59">
                  <c:v>0.023592471322708253</c:v>
                </c:pt>
                <c:pt idx="60">
                  <c:v>-0.023675808168478474</c:v>
                </c:pt>
                <c:pt idx="61">
                  <c:v>0.0013872849762885942</c:v>
                </c:pt>
                <c:pt idx="62">
                  <c:v>-0.01126198168228687</c:v>
                </c:pt>
                <c:pt idx="63">
                  <c:v>-0.003276767230171118</c:v>
                </c:pt>
                <c:pt idx="64">
                  <c:v>-0.012969430306493557</c:v>
                </c:pt>
                <c:pt idx="65">
                  <c:v>0.0026748039299213655</c:v>
                </c:pt>
                <c:pt idx="66">
                  <c:v>-0.008960056528632077</c:v>
                </c:pt>
                <c:pt idx="67">
                  <c:v>-0.015286803048535913</c:v>
                </c:pt>
                <c:pt idx="68">
                  <c:v>-0.05149314225891988</c:v>
                </c:pt>
                <c:pt idx="69">
                  <c:v>-0.010602678571428603</c:v>
                </c:pt>
                <c:pt idx="70">
                  <c:v>0.012246114896989235</c:v>
                </c:pt>
                <c:pt idx="71">
                  <c:v>0.03255032486806542</c:v>
                </c:pt>
                <c:pt idx="72">
                  <c:v>0.03145827336392881</c:v>
                </c:pt>
                <c:pt idx="73">
                  <c:v>0.011295323409976854</c:v>
                </c:pt>
                <c:pt idx="74">
                  <c:v>0.015513557348653562</c:v>
                </c:pt>
                <c:pt idx="75">
                  <c:v>-0.0004464495742310115</c:v>
                </c:pt>
                <c:pt idx="76">
                  <c:v>-0.01204554937089175</c:v>
                </c:pt>
              </c:numCache>
            </c:numRef>
          </c:val>
          <c:smooth val="0"/>
        </c:ser>
        <c:marker val="1"/>
        <c:axId val="7175999"/>
        <c:axId val="54484500"/>
      </c:lineChart>
      <c:dateAx>
        <c:axId val="7175999"/>
        <c:scaling>
          <c:orientation val="minMax"/>
        </c:scaling>
        <c:axPos val="b"/>
        <c:delete val="0"/>
        <c:numFmt formatCode="[$-415]mmm\ yy;@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48450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54484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1759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75"/>
          <c:y val="0.93075"/>
          <c:w val="0.681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075"/>
          <c:w val="0.987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'Statystki tyg'!$P$1:$P$2</c:f>
              <c:strCache>
                <c:ptCount val="1"/>
                <c:pt idx="0">
                  <c:v>Indeksy Rp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'Statystki tyg'!$O$3:$O$80</c:f>
              <c:strCache>
                <c:ptCount val="78"/>
                <c:pt idx="0">
                  <c:v>40564</c:v>
                </c:pt>
                <c:pt idx="1">
                  <c:v>40571</c:v>
                </c:pt>
                <c:pt idx="2">
                  <c:v>40578</c:v>
                </c:pt>
                <c:pt idx="3">
                  <c:v>40585</c:v>
                </c:pt>
                <c:pt idx="4">
                  <c:v>40592</c:v>
                </c:pt>
                <c:pt idx="5">
                  <c:v>40599</c:v>
                </c:pt>
                <c:pt idx="6">
                  <c:v>40606</c:v>
                </c:pt>
                <c:pt idx="7">
                  <c:v>40613</c:v>
                </c:pt>
                <c:pt idx="8">
                  <c:v>40620</c:v>
                </c:pt>
                <c:pt idx="9">
                  <c:v>40627</c:v>
                </c:pt>
                <c:pt idx="10">
                  <c:v>40634</c:v>
                </c:pt>
                <c:pt idx="11">
                  <c:v>40641</c:v>
                </c:pt>
                <c:pt idx="12">
                  <c:v>40648</c:v>
                </c:pt>
                <c:pt idx="13">
                  <c:v>40655</c:v>
                </c:pt>
                <c:pt idx="14">
                  <c:v>40662</c:v>
                </c:pt>
                <c:pt idx="15">
                  <c:v>40669</c:v>
                </c:pt>
                <c:pt idx="16">
                  <c:v>40676</c:v>
                </c:pt>
                <c:pt idx="17">
                  <c:v>40683</c:v>
                </c:pt>
                <c:pt idx="18">
                  <c:v>40690</c:v>
                </c:pt>
                <c:pt idx="19">
                  <c:v>40697</c:v>
                </c:pt>
                <c:pt idx="20">
                  <c:v>40704</c:v>
                </c:pt>
                <c:pt idx="21">
                  <c:v>40711</c:v>
                </c:pt>
                <c:pt idx="22">
                  <c:v>40718</c:v>
                </c:pt>
                <c:pt idx="23">
                  <c:v>40725</c:v>
                </c:pt>
                <c:pt idx="24">
                  <c:v>40732</c:v>
                </c:pt>
                <c:pt idx="25">
                  <c:v>40739</c:v>
                </c:pt>
                <c:pt idx="26">
                  <c:v>40746</c:v>
                </c:pt>
                <c:pt idx="27">
                  <c:v>40753</c:v>
                </c:pt>
                <c:pt idx="28">
                  <c:v>40760</c:v>
                </c:pt>
                <c:pt idx="29">
                  <c:v>40767</c:v>
                </c:pt>
                <c:pt idx="30">
                  <c:v>40774</c:v>
                </c:pt>
                <c:pt idx="31">
                  <c:v>40781</c:v>
                </c:pt>
                <c:pt idx="32">
                  <c:v>40788</c:v>
                </c:pt>
                <c:pt idx="33">
                  <c:v>40795</c:v>
                </c:pt>
                <c:pt idx="34">
                  <c:v>40802</c:v>
                </c:pt>
                <c:pt idx="35">
                  <c:v>40809</c:v>
                </c:pt>
                <c:pt idx="36">
                  <c:v>40816</c:v>
                </c:pt>
                <c:pt idx="37">
                  <c:v>40823</c:v>
                </c:pt>
                <c:pt idx="38">
                  <c:v>40830</c:v>
                </c:pt>
                <c:pt idx="39">
                  <c:v>40837</c:v>
                </c:pt>
                <c:pt idx="40">
                  <c:v>40844</c:v>
                </c:pt>
                <c:pt idx="41">
                  <c:v>40851</c:v>
                </c:pt>
                <c:pt idx="42">
                  <c:v>40858</c:v>
                </c:pt>
                <c:pt idx="43">
                  <c:v>40865</c:v>
                </c:pt>
                <c:pt idx="44">
                  <c:v>40872</c:v>
                </c:pt>
                <c:pt idx="45">
                  <c:v>40879</c:v>
                </c:pt>
                <c:pt idx="46">
                  <c:v>40886</c:v>
                </c:pt>
                <c:pt idx="47">
                  <c:v>40893</c:v>
                </c:pt>
                <c:pt idx="48">
                  <c:v>40900</c:v>
                </c:pt>
                <c:pt idx="49">
                  <c:v>40907</c:v>
                </c:pt>
                <c:pt idx="50">
                  <c:v>40914</c:v>
                </c:pt>
                <c:pt idx="51">
                  <c:v>40921</c:v>
                </c:pt>
                <c:pt idx="52">
                  <c:v>40928</c:v>
                </c:pt>
                <c:pt idx="53">
                  <c:v>40935</c:v>
                </c:pt>
                <c:pt idx="54">
                  <c:v>40942</c:v>
                </c:pt>
                <c:pt idx="55">
                  <c:v>40949</c:v>
                </c:pt>
                <c:pt idx="56">
                  <c:v>40956</c:v>
                </c:pt>
                <c:pt idx="57">
                  <c:v>40963</c:v>
                </c:pt>
                <c:pt idx="58">
                  <c:v>40970</c:v>
                </c:pt>
                <c:pt idx="59">
                  <c:v>40977</c:v>
                </c:pt>
                <c:pt idx="60">
                  <c:v>40984</c:v>
                </c:pt>
                <c:pt idx="61">
                  <c:v>40991</c:v>
                </c:pt>
                <c:pt idx="62">
                  <c:v>40998</c:v>
                </c:pt>
                <c:pt idx="63">
                  <c:v>41005</c:v>
                </c:pt>
                <c:pt idx="64">
                  <c:v>41012</c:v>
                </c:pt>
                <c:pt idx="65">
                  <c:v>41019</c:v>
                </c:pt>
                <c:pt idx="66">
                  <c:v>41026</c:v>
                </c:pt>
                <c:pt idx="67">
                  <c:v>41033</c:v>
                </c:pt>
                <c:pt idx="68">
                  <c:v>41040</c:v>
                </c:pt>
                <c:pt idx="69">
                  <c:v>41047</c:v>
                </c:pt>
                <c:pt idx="70">
                  <c:v>41054</c:v>
                </c:pt>
                <c:pt idx="71">
                  <c:v>41061</c:v>
                </c:pt>
                <c:pt idx="72">
                  <c:v>41068</c:v>
                </c:pt>
                <c:pt idx="73">
                  <c:v>41075</c:v>
                </c:pt>
                <c:pt idx="74">
                  <c:v>41082</c:v>
                </c:pt>
                <c:pt idx="75">
                  <c:v>41089</c:v>
                </c:pt>
                <c:pt idx="76">
                  <c:v>41096</c:v>
                </c:pt>
                <c:pt idx="77">
                  <c:v>41103</c:v>
                </c:pt>
              </c:strCache>
            </c:strRef>
          </c:cat>
          <c:val>
            <c:numRef>
              <c:f>'Statystki tyg'!$P$3:$P$80</c:f>
              <c:numCache>
                <c:ptCount val="78"/>
                <c:pt idx="0">
                  <c:v>100</c:v>
                </c:pt>
                <c:pt idx="1">
                  <c:v>99.823</c:v>
                </c:pt>
                <c:pt idx="2">
                  <c:v>99.9857</c:v>
                </c:pt>
                <c:pt idx="3">
                  <c:v>99.2128</c:v>
                </c:pt>
                <c:pt idx="4">
                  <c:v>99.2075</c:v>
                </c:pt>
                <c:pt idx="5">
                  <c:v>99.1159</c:v>
                </c:pt>
                <c:pt idx="6">
                  <c:v>99.9611</c:v>
                </c:pt>
                <c:pt idx="7">
                  <c:v>99.5611</c:v>
                </c:pt>
                <c:pt idx="8">
                  <c:v>99.95349999999998</c:v>
                </c:pt>
                <c:pt idx="9">
                  <c:v>100.68365</c:v>
                </c:pt>
                <c:pt idx="10">
                  <c:v>100.90939999999999</c:v>
                </c:pt>
                <c:pt idx="11">
                  <c:v>101.47075000000001</c:v>
                </c:pt>
                <c:pt idx="12">
                  <c:v>101.97959999999999</c:v>
                </c:pt>
                <c:pt idx="13">
                  <c:v>102.1421</c:v>
                </c:pt>
                <c:pt idx="14">
                  <c:v>102.77700000000002</c:v>
                </c:pt>
                <c:pt idx="15">
                  <c:v>101.88815</c:v>
                </c:pt>
                <c:pt idx="16">
                  <c:v>101.40665000000003</c:v>
                </c:pt>
                <c:pt idx="17">
                  <c:v>101.24180000000003</c:v>
                </c:pt>
                <c:pt idx="18">
                  <c:v>101.50720000000004</c:v>
                </c:pt>
                <c:pt idx="19">
                  <c:v>101.77490000000003</c:v>
                </c:pt>
                <c:pt idx="20">
                  <c:v>100.68940000000005</c:v>
                </c:pt>
                <c:pt idx="21">
                  <c:v>101.20905000000003</c:v>
                </c:pt>
                <c:pt idx="22">
                  <c:v>100.63475000000004</c:v>
                </c:pt>
                <c:pt idx="23">
                  <c:v>100.54265000000002</c:v>
                </c:pt>
                <c:pt idx="24">
                  <c:v>100.67920000000002</c:v>
                </c:pt>
                <c:pt idx="25">
                  <c:v>100.53930000000003</c:v>
                </c:pt>
                <c:pt idx="26">
                  <c:v>100.43580000000001</c:v>
                </c:pt>
                <c:pt idx="27">
                  <c:v>100.47625000000001</c:v>
                </c:pt>
                <c:pt idx="28">
                  <c:v>99.38265000000001</c:v>
                </c:pt>
                <c:pt idx="29">
                  <c:v>99.38265000000001</c:v>
                </c:pt>
                <c:pt idx="30">
                  <c:v>99.38265000000001</c:v>
                </c:pt>
                <c:pt idx="31">
                  <c:v>99.38265000000001</c:v>
                </c:pt>
                <c:pt idx="32">
                  <c:v>99.38265000000001</c:v>
                </c:pt>
                <c:pt idx="33">
                  <c:v>99.38265000000001</c:v>
                </c:pt>
                <c:pt idx="34">
                  <c:v>99.38265000000001</c:v>
                </c:pt>
                <c:pt idx="35">
                  <c:v>99.38265000000001</c:v>
                </c:pt>
                <c:pt idx="36">
                  <c:v>100.00000000000001</c:v>
                </c:pt>
                <c:pt idx="37">
                  <c:v>100.00000000000001</c:v>
                </c:pt>
                <c:pt idx="38">
                  <c:v>99.97450000000002</c:v>
                </c:pt>
                <c:pt idx="39">
                  <c:v>100.07405000000003</c:v>
                </c:pt>
                <c:pt idx="40">
                  <c:v>100.62180000000002</c:v>
                </c:pt>
                <c:pt idx="41">
                  <c:v>100.42320000000002</c:v>
                </c:pt>
                <c:pt idx="42">
                  <c:v>100.71020000000003</c:v>
                </c:pt>
                <c:pt idx="43">
                  <c:v>100.93710000000003</c:v>
                </c:pt>
                <c:pt idx="44">
                  <c:v>99.92035000000004</c:v>
                </c:pt>
                <c:pt idx="45">
                  <c:v>100.21145000000004</c:v>
                </c:pt>
                <c:pt idx="46">
                  <c:v>100.00270000000005</c:v>
                </c:pt>
                <c:pt idx="47">
                  <c:v>99.69840000000006</c:v>
                </c:pt>
                <c:pt idx="48">
                  <c:v>99.86815000000006</c:v>
                </c:pt>
                <c:pt idx="49">
                  <c:v>99.88280000000006</c:v>
                </c:pt>
                <c:pt idx="50">
                  <c:v>100.69570000000006</c:v>
                </c:pt>
                <c:pt idx="51">
                  <c:v>101.04320000000006</c:v>
                </c:pt>
                <c:pt idx="52">
                  <c:v>100.29070000000004</c:v>
                </c:pt>
                <c:pt idx="53">
                  <c:v>101.92230000000004</c:v>
                </c:pt>
                <c:pt idx="54">
                  <c:v>103.16295000000007</c:v>
                </c:pt>
                <c:pt idx="55">
                  <c:v>102.82945000000004</c:v>
                </c:pt>
                <c:pt idx="56">
                  <c:v>104.75465000000004</c:v>
                </c:pt>
                <c:pt idx="57">
                  <c:v>104.93943337000005</c:v>
                </c:pt>
                <c:pt idx="58">
                  <c:v>103.95801886000005</c:v>
                </c:pt>
                <c:pt idx="59">
                  <c:v>104.88517530000004</c:v>
                </c:pt>
                <c:pt idx="60">
                  <c:v>104.93465000000006</c:v>
                </c:pt>
                <c:pt idx="61">
                  <c:v>104.81515000000006</c:v>
                </c:pt>
                <c:pt idx="62">
                  <c:v>105.28975000000007</c:v>
                </c:pt>
                <c:pt idx="63">
                  <c:v>105.85695000000005</c:v>
                </c:pt>
                <c:pt idx="64">
                  <c:v>105.40885000000006</c:v>
                </c:pt>
                <c:pt idx="65">
                  <c:v>105.72795000000006</c:v>
                </c:pt>
                <c:pt idx="66">
                  <c:v>105.20850000000006</c:v>
                </c:pt>
                <c:pt idx="67">
                  <c:v>105.45705000000005</c:v>
                </c:pt>
                <c:pt idx="68">
                  <c:v>104.51520000000006</c:v>
                </c:pt>
                <c:pt idx="69">
                  <c:v>104.21905000000007</c:v>
                </c:pt>
                <c:pt idx="70">
                  <c:v>103.90220000000008</c:v>
                </c:pt>
                <c:pt idx="71">
                  <c:v>104.80385000000007</c:v>
                </c:pt>
                <c:pt idx="72">
                  <c:v>104.64915000000008</c:v>
                </c:pt>
                <c:pt idx="73">
                  <c:v>104.75080000000007</c:v>
                </c:pt>
                <c:pt idx="74">
                  <c:v>104.71935000000006</c:v>
                </c:pt>
                <c:pt idx="75">
                  <c:v>105.07555000000006</c:v>
                </c:pt>
                <c:pt idx="76">
                  <c:v>104.39835000000005</c:v>
                </c:pt>
                <c:pt idx="77">
                  <c:v>104.05725000000007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'Statystki tyg'!$Q$1:$Q$2</c:f>
              <c:strCache>
                <c:ptCount val="1"/>
                <c:pt idx="0">
                  <c:v>Indeksy WIG20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'Statystki tyg'!$O$3:$O$80</c:f>
              <c:strCache>
                <c:ptCount val="78"/>
                <c:pt idx="0">
                  <c:v>40564</c:v>
                </c:pt>
                <c:pt idx="1">
                  <c:v>40571</c:v>
                </c:pt>
                <c:pt idx="2">
                  <c:v>40578</c:v>
                </c:pt>
                <c:pt idx="3">
                  <c:v>40585</c:v>
                </c:pt>
                <c:pt idx="4">
                  <c:v>40592</c:v>
                </c:pt>
                <c:pt idx="5">
                  <c:v>40599</c:v>
                </c:pt>
                <c:pt idx="6">
                  <c:v>40606</c:v>
                </c:pt>
                <c:pt idx="7">
                  <c:v>40613</c:v>
                </c:pt>
                <c:pt idx="8">
                  <c:v>40620</c:v>
                </c:pt>
                <c:pt idx="9">
                  <c:v>40627</c:v>
                </c:pt>
                <c:pt idx="10">
                  <c:v>40634</c:v>
                </c:pt>
                <c:pt idx="11">
                  <c:v>40641</c:v>
                </c:pt>
                <c:pt idx="12">
                  <c:v>40648</c:v>
                </c:pt>
                <c:pt idx="13">
                  <c:v>40655</c:v>
                </c:pt>
                <c:pt idx="14">
                  <c:v>40662</c:v>
                </c:pt>
                <c:pt idx="15">
                  <c:v>40669</c:v>
                </c:pt>
                <c:pt idx="16">
                  <c:v>40676</c:v>
                </c:pt>
                <c:pt idx="17">
                  <c:v>40683</c:v>
                </c:pt>
                <c:pt idx="18">
                  <c:v>40690</c:v>
                </c:pt>
                <c:pt idx="19">
                  <c:v>40697</c:v>
                </c:pt>
                <c:pt idx="20">
                  <c:v>40704</c:v>
                </c:pt>
                <c:pt idx="21">
                  <c:v>40711</c:v>
                </c:pt>
                <c:pt idx="22">
                  <c:v>40718</c:v>
                </c:pt>
                <c:pt idx="23">
                  <c:v>40725</c:v>
                </c:pt>
                <c:pt idx="24">
                  <c:v>40732</c:v>
                </c:pt>
                <c:pt idx="25">
                  <c:v>40739</c:v>
                </c:pt>
                <c:pt idx="26">
                  <c:v>40746</c:v>
                </c:pt>
                <c:pt idx="27">
                  <c:v>40753</c:v>
                </c:pt>
                <c:pt idx="28">
                  <c:v>40760</c:v>
                </c:pt>
                <c:pt idx="29">
                  <c:v>40767</c:v>
                </c:pt>
                <c:pt idx="30">
                  <c:v>40774</c:v>
                </c:pt>
                <c:pt idx="31">
                  <c:v>40781</c:v>
                </c:pt>
                <c:pt idx="32">
                  <c:v>40788</c:v>
                </c:pt>
                <c:pt idx="33">
                  <c:v>40795</c:v>
                </c:pt>
                <c:pt idx="34">
                  <c:v>40802</c:v>
                </c:pt>
                <c:pt idx="35">
                  <c:v>40809</c:v>
                </c:pt>
                <c:pt idx="36">
                  <c:v>40816</c:v>
                </c:pt>
                <c:pt idx="37">
                  <c:v>40823</c:v>
                </c:pt>
                <c:pt idx="38">
                  <c:v>40830</c:v>
                </c:pt>
                <c:pt idx="39">
                  <c:v>40837</c:v>
                </c:pt>
                <c:pt idx="40">
                  <c:v>40844</c:v>
                </c:pt>
                <c:pt idx="41">
                  <c:v>40851</c:v>
                </c:pt>
                <c:pt idx="42">
                  <c:v>40858</c:v>
                </c:pt>
                <c:pt idx="43">
                  <c:v>40865</c:v>
                </c:pt>
                <c:pt idx="44">
                  <c:v>40872</c:v>
                </c:pt>
                <c:pt idx="45">
                  <c:v>40879</c:v>
                </c:pt>
                <c:pt idx="46">
                  <c:v>40886</c:v>
                </c:pt>
                <c:pt idx="47">
                  <c:v>40893</c:v>
                </c:pt>
                <c:pt idx="48">
                  <c:v>40900</c:v>
                </c:pt>
                <c:pt idx="49">
                  <c:v>40907</c:v>
                </c:pt>
                <c:pt idx="50">
                  <c:v>40914</c:v>
                </c:pt>
                <c:pt idx="51">
                  <c:v>40921</c:v>
                </c:pt>
                <c:pt idx="52">
                  <c:v>40928</c:v>
                </c:pt>
                <c:pt idx="53">
                  <c:v>40935</c:v>
                </c:pt>
                <c:pt idx="54">
                  <c:v>40942</c:v>
                </c:pt>
                <c:pt idx="55">
                  <c:v>40949</c:v>
                </c:pt>
                <c:pt idx="56">
                  <c:v>40956</c:v>
                </c:pt>
                <c:pt idx="57">
                  <c:v>40963</c:v>
                </c:pt>
                <c:pt idx="58">
                  <c:v>40970</c:v>
                </c:pt>
                <c:pt idx="59">
                  <c:v>40977</c:v>
                </c:pt>
                <c:pt idx="60">
                  <c:v>40984</c:v>
                </c:pt>
                <c:pt idx="61">
                  <c:v>40991</c:v>
                </c:pt>
                <c:pt idx="62">
                  <c:v>40998</c:v>
                </c:pt>
                <c:pt idx="63">
                  <c:v>41005</c:v>
                </c:pt>
                <c:pt idx="64">
                  <c:v>41012</c:v>
                </c:pt>
                <c:pt idx="65">
                  <c:v>41019</c:v>
                </c:pt>
                <c:pt idx="66">
                  <c:v>41026</c:v>
                </c:pt>
                <c:pt idx="67">
                  <c:v>41033</c:v>
                </c:pt>
                <c:pt idx="68">
                  <c:v>41040</c:v>
                </c:pt>
                <c:pt idx="69">
                  <c:v>41047</c:v>
                </c:pt>
                <c:pt idx="70">
                  <c:v>41054</c:v>
                </c:pt>
                <c:pt idx="71">
                  <c:v>41061</c:v>
                </c:pt>
                <c:pt idx="72">
                  <c:v>41068</c:v>
                </c:pt>
                <c:pt idx="73">
                  <c:v>41075</c:v>
                </c:pt>
                <c:pt idx="74">
                  <c:v>41082</c:v>
                </c:pt>
                <c:pt idx="75">
                  <c:v>41089</c:v>
                </c:pt>
                <c:pt idx="76">
                  <c:v>41096</c:v>
                </c:pt>
                <c:pt idx="77">
                  <c:v>41103</c:v>
                </c:pt>
              </c:strCache>
            </c:strRef>
          </c:cat>
          <c:val>
            <c:numRef>
              <c:f>'Statystki tyg'!$Q$3:$Q$80</c:f>
              <c:numCache>
                <c:ptCount val="78"/>
                <c:pt idx="0">
                  <c:v>100</c:v>
                </c:pt>
                <c:pt idx="1">
                  <c:v>98.96133259674168</c:v>
                </c:pt>
                <c:pt idx="2">
                  <c:v>100.33036867387894</c:v>
                </c:pt>
                <c:pt idx="3">
                  <c:v>99.37987275501133</c:v>
                </c:pt>
                <c:pt idx="4">
                  <c:v>97.44705137726787</c:v>
                </c:pt>
                <c:pt idx="5">
                  <c:v>97.8125423021904</c:v>
                </c:pt>
                <c:pt idx="6">
                  <c:v>101.82196677288711</c:v>
                </c:pt>
                <c:pt idx="7">
                  <c:v>100.58500499394509</c:v>
                </c:pt>
                <c:pt idx="8">
                  <c:v>101.69684375354426</c:v>
                </c:pt>
                <c:pt idx="9">
                  <c:v>102.94807394697274</c:v>
                </c:pt>
                <c:pt idx="10">
                  <c:v>105.26577665906906</c:v>
                </c:pt>
                <c:pt idx="11">
                  <c:v>106.2276141381695</c:v>
                </c:pt>
                <c:pt idx="12">
                  <c:v>106.72810621554089</c:v>
                </c:pt>
                <c:pt idx="13">
                  <c:v>106.39188383315471</c:v>
                </c:pt>
                <c:pt idx="14">
                  <c:v>106.57883664860557</c:v>
                </c:pt>
                <c:pt idx="15">
                  <c:v>104.89809059345632</c:v>
                </c:pt>
                <c:pt idx="16">
                  <c:v>103.26563763349203</c:v>
                </c:pt>
                <c:pt idx="17">
                  <c:v>103.51661538574113</c:v>
                </c:pt>
                <c:pt idx="18">
                  <c:v>104.87760261368089</c:v>
                </c:pt>
                <c:pt idx="19">
                  <c:v>105.50651042143048</c:v>
                </c:pt>
                <c:pt idx="20">
                  <c:v>104.34820785055486</c:v>
                </c:pt>
                <c:pt idx="21">
                  <c:v>105.37150926898161</c:v>
                </c:pt>
                <c:pt idx="22">
                  <c:v>102.49807010547656</c:v>
                </c:pt>
                <c:pt idx="23">
                  <c:v>102.92831768076074</c:v>
                </c:pt>
                <c:pt idx="24">
                  <c:v>100.32963696031557</c:v>
                </c:pt>
                <c:pt idx="25">
                  <c:v>100.52280934105539</c:v>
                </c:pt>
                <c:pt idx="26">
                  <c:v>100.37134463342984</c:v>
                </c:pt>
                <c:pt idx="27">
                  <c:v>99.74390025280708</c:v>
                </c:pt>
                <c:pt idx="28">
                  <c:v>89.53283747544191</c:v>
                </c:pt>
                <c:pt idx="29">
                  <c:v>85.30060622468733</c:v>
                </c:pt>
                <c:pt idx="30">
                  <c:v>82.40558151106173</c:v>
                </c:pt>
                <c:pt idx="31">
                  <c:v>86.06451518488576</c:v>
                </c:pt>
                <c:pt idx="32">
                  <c:v>86.33305406265667</c:v>
                </c:pt>
                <c:pt idx="33">
                  <c:v>82.27167792895796</c:v>
                </c:pt>
                <c:pt idx="34">
                  <c:v>84.09291298828164</c:v>
                </c:pt>
                <c:pt idx="35">
                  <c:v>77.41639257896108</c:v>
                </c:pt>
                <c:pt idx="36">
                  <c:v>80.07617138195086</c:v>
                </c:pt>
                <c:pt idx="37">
                  <c:v>80.13544018058694</c:v>
                </c:pt>
                <c:pt idx="38">
                  <c:v>84.17084048278464</c:v>
                </c:pt>
                <c:pt idx="39">
                  <c:v>84.34535416765758</c:v>
                </c:pt>
                <c:pt idx="40">
                  <c:v>88.14587441600116</c:v>
                </c:pt>
                <c:pt idx="41">
                  <c:v>86.44171352682282</c:v>
                </c:pt>
                <c:pt idx="42">
                  <c:v>83.72412935232379</c:v>
                </c:pt>
                <c:pt idx="43">
                  <c:v>81.94752882036802</c:v>
                </c:pt>
                <c:pt idx="44">
                  <c:v>79.16409042516221</c:v>
                </c:pt>
                <c:pt idx="45">
                  <c:v>82.60680274099906</c:v>
                </c:pt>
                <c:pt idx="46">
                  <c:v>81.47191500415252</c:v>
                </c:pt>
                <c:pt idx="47">
                  <c:v>77.41639257896108</c:v>
                </c:pt>
                <c:pt idx="48">
                  <c:v>79.34811638635942</c:v>
                </c:pt>
                <c:pt idx="49">
                  <c:v>78.45725512290961</c:v>
                </c:pt>
                <c:pt idx="50">
                  <c:v>78.93103965521658</c:v>
                </c:pt>
                <c:pt idx="51">
                  <c:v>79.25848147484189</c:v>
                </c:pt>
                <c:pt idx="52">
                  <c:v>82.72095005689074</c:v>
                </c:pt>
                <c:pt idx="53">
                  <c:v>84.38011056191944</c:v>
                </c:pt>
                <c:pt idx="54">
                  <c:v>86.87159524532527</c:v>
                </c:pt>
                <c:pt idx="55">
                  <c:v>85.06060417588931</c:v>
                </c:pt>
                <c:pt idx="56">
                  <c:v>86.81781429841475</c:v>
                </c:pt>
                <c:pt idx="57">
                  <c:v>84.58206350542017</c:v>
                </c:pt>
                <c:pt idx="58">
                  <c:v>84.91133460895398</c:v>
                </c:pt>
                <c:pt idx="59">
                  <c:v>83.63559201115132</c:v>
                </c:pt>
                <c:pt idx="60">
                  <c:v>85.53438870819629</c:v>
                </c:pt>
                <c:pt idx="61">
                  <c:v>83.574128071825</c:v>
                </c:pt>
                <c:pt idx="62">
                  <c:v>83.65425070701822</c:v>
                </c:pt>
                <c:pt idx="63">
                  <c:v>82.8061946870278</c:v>
                </c:pt>
                <c:pt idx="64">
                  <c:v>82.31521488598071</c:v>
                </c:pt>
                <c:pt idx="65">
                  <c:v>81.29008418364545</c:v>
                </c:pt>
                <c:pt idx="66">
                  <c:v>82.10923751788124</c:v>
                </c:pt>
                <c:pt idx="67">
                  <c:v>80.85727561088935</c:v>
                </c:pt>
                <c:pt idx="68">
                  <c:v>79.7117780273734</c:v>
                </c:pt>
                <c:pt idx="69">
                  <c:v>75.40271685246091</c:v>
                </c:pt>
                <c:pt idx="70">
                  <c:v>74.53161185522315</c:v>
                </c:pt>
                <c:pt idx="71">
                  <c:v>75.7886957571589</c:v>
                </c:pt>
                <c:pt idx="72">
                  <c:v>78.80042878414817</c:v>
                </c:pt>
                <c:pt idx="73">
                  <c:v>81.70972191226024</c:v>
                </c:pt>
                <c:pt idx="74">
                  <c:v>82.03057830981484</c:v>
                </c:pt>
                <c:pt idx="75">
                  <c:v>83.24339354116438</c:v>
                </c:pt>
                <c:pt idx="76">
                  <c:v>83.16949047126012</c:v>
                </c:pt>
                <c:pt idx="77">
                  <c:v>80.17422099944754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'Statystki tyg'!$R$1:$R$2</c:f>
              <c:strCache>
                <c:ptCount val="1"/>
                <c:pt idx="0">
                  <c:v>Indeksy mWIG40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'Statystki tyg'!$O$3:$O$80</c:f>
              <c:strCache>
                <c:ptCount val="78"/>
                <c:pt idx="0">
                  <c:v>40564</c:v>
                </c:pt>
                <c:pt idx="1">
                  <c:v>40571</c:v>
                </c:pt>
                <c:pt idx="2">
                  <c:v>40578</c:v>
                </c:pt>
                <c:pt idx="3">
                  <c:v>40585</c:v>
                </c:pt>
                <c:pt idx="4">
                  <c:v>40592</c:v>
                </c:pt>
                <c:pt idx="5">
                  <c:v>40599</c:v>
                </c:pt>
                <c:pt idx="6">
                  <c:v>40606</c:v>
                </c:pt>
                <c:pt idx="7">
                  <c:v>40613</c:v>
                </c:pt>
                <c:pt idx="8">
                  <c:v>40620</c:v>
                </c:pt>
                <c:pt idx="9">
                  <c:v>40627</c:v>
                </c:pt>
                <c:pt idx="10">
                  <c:v>40634</c:v>
                </c:pt>
                <c:pt idx="11">
                  <c:v>40641</c:v>
                </c:pt>
                <c:pt idx="12">
                  <c:v>40648</c:v>
                </c:pt>
                <c:pt idx="13">
                  <c:v>40655</c:v>
                </c:pt>
                <c:pt idx="14">
                  <c:v>40662</c:v>
                </c:pt>
                <c:pt idx="15">
                  <c:v>40669</c:v>
                </c:pt>
                <c:pt idx="16">
                  <c:v>40676</c:v>
                </c:pt>
                <c:pt idx="17">
                  <c:v>40683</c:v>
                </c:pt>
                <c:pt idx="18">
                  <c:v>40690</c:v>
                </c:pt>
                <c:pt idx="19">
                  <c:v>40697</c:v>
                </c:pt>
                <c:pt idx="20">
                  <c:v>40704</c:v>
                </c:pt>
                <c:pt idx="21">
                  <c:v>40711</c:v>
                </c:pt>
                <c:pt idx="22">
                  <c:v>40718</c:v>
                </c:pt>
                <c:pt idx="23">
                  <c:v>40725</c:v>
                </c:pt>
                <c:pt idx="24">
                  <c:v>40732</c:v>
                </c:pt>
                <c:pt idx="25">
                  <c:v>40739</c:v>
                </c:pt>
                <c:pt idx="26">
                  <c:v>40746</c:v>
                </c:pt>
                <c:pt idx="27">
                  <c:v>40753</c:v>
                </c:pt>
                <c:pt idx="28">
                  <c:v>40760</c:v>
                </c:pt>
                <c:pt idx="29">
                  <c:v>40767</c:v>
                </c:pt>
                <c:pt idx="30">
                  <c:v>40774</c:v>
                </c:pt>
                <c:pt idx="31">
                  <c:v>40781</c:v>
                </c:pt>
                <c:pt idx="32">
                  <c:v>40788</c:v>
                </c:pt>
                <c:pt idx="33">
                  <c:v>40795</c:v>
                </c:pt>
                <c:pt idx="34">
                  <c:v>40802</c:v>
                </c:pt>
                <c:pt idx="35">
                  <c:v>40809</c:v>
                </c:pt>
                <c:pt idx="36">
                  <c:v>40816</c:v>
                </c:pt>
                <c:pt idx="37">
                  <c:v>40823</c:v>
                </c:pt>
                <c:pt idx="38">
                  <c:v>40830</c:v>
                </c:pt>
                <c:pt idx="39">
                  <c:v>40837</c:v>
                </c:pt>
                <c:pt idx="40">
                  <c:v>40844</c:v>
                </c:pt>
                <c:pt idx="41">
                  <c:v>40851</c:v>
                </c:pt>
                <c:pt idx="42">
                  <c:v>40858</c:v>
                </c:pt>
                <c:pt idx="43">
                  <c:v>40865</c:v>
                </c:pt>
                <c:pt idx="44">
                  <c:v>40872</c:v>
                </c:pt>
                <c:pt idx="45">
                  <c:v>40879</c:v>
                </c:pt>
                <c:pt idx="46">
                  <c:v>40886</c:v>
                </c:pt>
                <c:pt idx="47">
                  <c:v>40893</c:v>
                </c:pt>
                <c:pt idx="48">
                  <c:v>40900</c:v>
                </c:pt>
                <c:pt idx="49">
                  <c:v>40907</c:v>
                </c:pt>
                <c:pt idx="50">
                  <c:v>40914</c:v>
                </c:pt>
                <c:pt idx="51">
                  <c:v>40921</c:v>
                </c:pt>
                <c:pt idx="52">
                  <c:v>40928</c:v>
                </c:pt>
                <c:pt idx="53">
                  <c:v>40935</c:v>
                </c:pt>
                <c:pt idx="54">
                  <c:v>40942</c:v>
                </c:pt>
                <c:pt idx="55">
                  <c:v>40949</c:v>
                </c:pt>
                <c:pt idx="56">
                  <c:v>40956</c:v>
                </c:pt>
                <c:pt idx="57">
                  <c:v>40963</c:v>
                </c:pt>
                <c:pt idx="58">
                  <c:v>40970</c:v>
                </c:pt>
                <c:pt idx="59">
                  <c:v>40977</c:v>
                </c:pt>
                <c:pt idx="60">
                  <c:v>40984</c:v>
                </c:pt>
                <c:pt idx="61">
                  <c:v>40991</c:v>
                </c:pt>
                <c:pt idx="62">
                  <c:v>40998</c:v>
                </c:pt>
                <c:pt idx="63">
                  <c:v>41005</c:v>
                </c:pt>
                <c:pt idx="64">
                  <c:v>41012</c:v>
                </c:pt>
                <c:pt idx="65">
                  <c:v>41019</c:v>
                </c:pt>
                <c:pt idx="66">
                  <c:v>41026</c:v>
                </c:pt>
                <c:pt idx="67">
                  <c:v>41033</c:v>
                </c:pt>
                <c:pt idx="68">
                  <c:v>41040</c:v>
                </c:pt>
                <c:pt idx="69">
                  <c:v>41047</c:v>
                </c:pt>
                <c:pt idx="70">
                  <c:v>41054</c:v>
                </c:pt>
                <c:pt idx="71">
                  <c:v>41061</c:v>
                </c:pt>
                <c:pt idx="72">
                  <c:v>41068</c:v>
                </c:pt>
                <c:pt idx="73">
                  <c:v>41075</c:v>
                </c:pt>
                <c:pt idx="74">
                  <c:v>41082</c:v>
                </c:pt>
                <c:pt idx="75">
                  <c:v>41089</c:v>
                </c:pt>
                <c:pt idx="76">
                  <c:v>41096</c:v>
                </c:pt>
                <c:pt idx="77">
                  <c:v>41103</c:v>
                </c:pt>
              </c:strCache>
            </c:strRef>
          </c:cat>
          <c:val>
            <c:numRef>
              <c:f>'Statystki tyg'!$R$3:$R$80</c:f>
              <c:numCache>
                <c:ptCount val="78"/>
                <c:pt idx="0">
                  <c:v>100</c:v>
                </c:pt>
                <c:pt idx="1">
                  <c:v>99.46072149565522</c:v>
                </c:pt>
                <c:pt idx="2">
                  <c:v>100.48766786623365</c:v>
                </c:pt>
                <c:pt idx="3">
                  <c:v>100.30229088036515</c:v>
                </c:pt>
                <c:pt idx="4">
                  <c:v>98.7841657157904</c:v>
                </c:pt>
                <c:pt idx="5">
                  <c:v>99.30062318967788</c:v>
                </c:pt>
                <c:pt idx="6">
                  <c:v>101.54410603001844</c:v>
                </c:pt>
                <c:pt idx="7">
                  <c:v>100.29491793206356</c:v>
                </c:pt>
                <c:pt idx="8">
                  <c:v>99.89712981655403</c:v>
                </c:pt>
                <c:pt idx="9">
                  <c:v>101.51882735012728</c:v>
                </c:pt>
                <c:pt idx="10">
                  <c:v>102.6100236987624</c:v>
                </c:pt>
                <c:pt idx="11">
                  <c:v>104.19204774861758</c:v>
                </c:pt>
                <c:pt idx="12">
                  <c:v>103.71350829456685</c:v>
                </c:pt>
                <c:pt idx="13">
                  <c:v>103.74686210831213</c:v>
                </c:pt>
                <c:pt idx="14">
                  <c:v>103.22197840779428</c:v>
                </c:pt>
                <c:pt idx="15">
                  <c:v>102.66795400684632</c:v>
                </c:pt>
                <c:pt idx="16">
                  <c:v>101.4264899499693</c:v>
                </c:pt>
                <c:pt idx="17">
                  <c:v>101.98156762924604</c:v>
                </c:pt>
                <c:pt idx="18">
                  <c:v>103.13069428596508</c:v>
                </c:pt>
                <c:pt idx="19">
                  <c:v>102.89230229088038</c:v>
                </c:pt>
                <c:pt idx="20">
                  <c:v>101.69016062494515</c:v>
                </c:pt>
                <c:pt idx="21">
                  <c:v>101.71543930483632</c:v>
                </c:pt>
                <c:pt idx="22">
                  <c:v>100.90968138330555</c:v>
                </c:pt>
                <c:pt idx="23">
                  <c:v>100.10673220398492</c:v>
                </c:pt>
                <c:pt idx="24">
                  <c:v>98.30035987009569</c:v>
                </c:pt>
                <c:pt idx="25">
                  <c:v>97.88501711577285</c:v>
                </c:pt>
                <c:pt idx="26">
                  <c:v>96.85842183797068</c:v>
                </c:pt>
                <c:pt idx="27">
                  <c:v>96.08215570964626</c:v>
                </c:pt>
                <c:pt idx="28">
                  <c:v>84.07408057579214</c:v>
                </c:pt>
                <c:pt idx="29">
                  <c:v>79.76862986044061</c:v>
                </c:pt>
                <c:pt idx="30">
                  <c:v>78.00930395857104</c:v>
                </c:pt>
                <c:pt idx="31">
                  <c:v>81.87202668305099</c:v>
                </c:pt>
                <c:pt idx="32">
                  <c:v>80.62494514175371</c:v>
                </c:pt>
                <c:pt idx="33">
                  <c:v>76.63161590450277</c:v>
                </c:pt>
                <c:pt idx="34">
                  <c:v>75.91468445536732</c:v>
                </c:pt>
                <c:pt idx="35">
                  <c:v>73.44123584657245</c:v>
                </c:pt>
                <c:pt idx="36">
                  <c:v>76.168875625384</c:v>
                </c:pt>
                <c:pt idx="37">
                  <c:v>75.3294127973317</c:v>
                </c:pt>
                <c:pt idx="38">
                  <c:v>79.37751250768015</c:v>
                </c:pt>
                <c:pt idx="39">
                  <c:v>79.37084174493108</c:v>
                </c:pt>
                <c:pt idx="40">
                  <c:v>82.02685859738435</c:v>
                </c:pt>
                <c:pt idx="41">
                  <c:v>80.20117616080049</c:v>
                </c:pt>
                <c:pt idx="42">
                  <c:v>79.1208636882296</c:v>
                </c:pt>
                <c:pt idx="43">
                  <c:v>77.55042569999121</c:v>
                </c:pt>
                <c:pt idx="44">
                  <c:v>73.33239708592995</c:v>
                </c:pt>
                <c:pt idx="45">
                  <c:v>76.81418414816115</c:v>
                </c:pt>
                <c:pt idx="46">
                  <c:v>76.33248485912401</c:v>
                </c:pt>
                <c:pt idx="47">
                  <c:v>74.05494601948564</c:v>
                </c:pt>
                <c:pt idx="48">
                  <c:v>75.54709031861668</c:v>
                </c:pt>
                <c:pt idx="49">
                  <c:v>76.32370753971735</c:v>
                </c:pt>
                <c:pt idx="50">
                  <c:v>75.82656016852451</c:v>
                </c:pt>
                <c:pt idx="51">
                  <c:v>76.69340823312558</c:v>
                </c:pt>
                <c:pt idx="52">
                  <c:v>79.13560958483276</c:v>
                </c:pt>
                <c:pt idx="53">
                  <c:v>81.75054858246288</c:v>
                </c:pt>
                <c:pt idx="54">
                  <c:v>84.34055999297811</c:v>
                </c:pt>
                <c:pt idx="55">
                  <c:v>84.59896427631</c:v>
                </c:pt>
                <c:pt idx="56">
                  <c:v>87.12402352321598</c:v>
                </c:pt>
                <c:pt idx="57">
                  <c:v>86.69744580005263</c:v>
                </c:pt>
                <c:pt idx="58">
                  <c:v>86.44887211445621</c:v>
                </c:pt>
                <c:pt idx="59">
                  <c:v>87.19599754235051</c:v>
                </c:pt>
                <c:pt idx="60">
                  <c:v>89.94786272272442</c:v>
                </c:pt>
                <c:pt idx="61">
                  <c:v>87.72228561397344</c:v>
                </c:pt>
                <c:pt idx="62">
                  <c:v>87.90099183709289</c:v>
                </c:pt>
                <c:pt idx="63">
                  <c:v>86.95514789783194</c:v>
                </c:pt>
                <c:pt idx="64">
                  <c:v>86.81646625120682</c:v>
                </c:pt>
                <c:pt idx="65">
                  <c:v>85.72983410866317</c:v>
                </c:pt>
                <c:pt idx="66">
                  <c:v>84.46554902132884</c:v>
                </c:pt>
                <c:pt idx="67">
                  <c:v>85.09470727639774</c:v>
                </c:pt>
                <c:pt idx="68">
                  <c:v>83.5340998858948</c:v>
                </c:pt>
                <c:pt idx="69">
                  <c:v>79.60572281225308</c:v>
                </c:pt>
                <c:pt idx="70">
                  <c:v>78.84174493109799</c:v>
                </c:pt>
                <c:pt idx="71">
                  <c:v>77.38295444571223</c:v>
                </c:pt>
                <c:pt idx="72">
                  <c:v>77.56868252435702</c:v>
                </c:pt>
                <c:pt idx="73">
                  <c:v>78.36460984815233</c:v>
                </c:pt>
                <c:pt idx="74">
                  <c:v>79.61274466777841</c:v>
                </c:pt>
                <c:pt idx="75">
                  <c:v>80.75449837619587</c:v>
                </c:pt>
                <c:pt idx="76">
                  <c:v>80.22048626349509</c:v>
                </c:pt>
                <c:pt idx="77">
                  <c:v>78.53313438076007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'Statystki tyg'!$S$1:$S$2</c:f>
              <c:strCache>
                <c:ptCount val="1"/>
                <c:pt idx="0">
                  <c:v>Indeksy sWIG80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'Statystki tyg'!$O$3:$O$80</c:f>
              <c:strCache>
                <c:ptCount val="78"/>
                <c:pt idx="0">
                  <c:v>40564</c:v>
                </c:pt>
                <c:pt idx="1">
                  <c:v>40571</c:v>
                </c:pt>
                <c:pt idx="2">
                  <c:v>40578</c:v>
                </c:pt>
                <c:pt idx="3">
                  <c:v>40585</c:v>
                </c:pt>
                <c:pt idx="4">
                  <c:v>40592</c:v>
                </c:pt>
                <c:pt idx="5">
                  <c:v>40599</c:v>
                </c:pt>
                <c:pt idx="6">
                  <c:v>40606</c:v>
                </c:pt>
                <c:pt idx="7">
                  <c:v>40613</c:v>
                </c:pt>
                <c:pt idx="8">
                  <c:v>40620</c:v>
                </c:pt>
                <c:pt idx="9">
                  <c:v>40627</c:v>
                </c:pt>
                <c:pt idx="10">
                  <c:v>40634</c:v>
                </c:pt>
                <c:pt idx="11">
                  <c:v>40641</c:v>
                </c:pt>
                <c:pt idx="12">
                  <c:v>40648</c:v>
                </c:pt>
                <c:pt idx="13">
                  <c:v>40655</c:v>
                </c:pt>
                <c:pt idx="14">
                  <c:v>40662</c:v>
                </c:pt>
                <c:pt idx="15">
                  <c:v>40669</c:v>
                </c:pt>
                <c:pt idx="16">
                  <c:v>40676</c:v>
                </c:pt>
                <c:pt idx="17">
                  <c:v>40683</c:v>
                </c:pt>
                <c:pt idx="18">
                  <c:v>40690</c:v>
                </c:pt>
                <c:pt idx="19">
                  <c:v>40697</c:v>
                </c:pt>
                <c:pt idx="20">
                  <c:v>40704</c:v>
                </c:pt>
                <c:pt idx="21">
                  <c:v>40711</c:v>
                </c:pt>
                <c:pt idx="22">
                  <c:v>40718</c:v>
                </c:pt>
                <c:pt idx="23">
                  <c:v>40725</c:v>
                </c:pt>
                <c:pt idx="24">
                  <c:v>40732</c:v>
                </c:pt>
                <c:pt idx="25">
                  <c:v>40739</c:v>
                </c:pt>
                <c:pt idx="26">
                  <c:v>40746</c:v>
                </c:pt>
                <c:pt idx="27">
                  <c:v>40753</c:v>
                </c:pt>
                <c:pt idx="28">
                  <c:v>40760</c:v>
                </c:pt>
                <c:pt idx="29">
                  <c:v>40767</c:v>
                </c:pt>
                <c:pt idx="30">
                  <c:v>40774</c:v>
                </c:pt>
                <c:pt idx="31">
                  <c:v>40781</c:v>
                </c:pt>
                <c:pt idx="32">
                  <c:v>40788</c:v>
                </c:pt>
                <c:pt idx="33">
                  <c:v>40795</c:v>
                </c:pt>
                <c:pt idx="34">
                  <c:v>40802</c:v>
                </c:pt>
                <c:pt idx="35">
                  <c:v>40809</c:v>
                </c:pt>
                <c:pt idx="36">
                  <c:v>40816</c:v>
                </c:pt>
                <c:pt idx="37">
                  <c:v>40823</c:v>
                </c:pt>
                <c:pt idx="38">
                  <c:v>40830</c:v>
                </c:pt>
                <c:pt idx="39">
                  <c:v>40837</c:v>
                </c:pt>
                <c:pt idx="40">
                  <c:v>40844</c:v>
                </c:pt>
                <c:pt idx="41">
                  <c:v>40851</c:v>
                </c:pt>
                <c:pt idx="42">
                  <c:v>40858</c:v>
                </c:pt>
                <c:pt idx="43">
                  <c:v>40865</c:v>
                </c:pt>
                <c:pt idx="44">
                  <c:v>40872</c:v>
                </c:pt>
                <c:pt idx="45">
                  <c:v>40879</c:v>
                </c:pt>
                <c:pt idx="46">
                  <c:v>40886</c:v>
                </c:pt>
                <c:pt idx="47">
                  <c:v>40893</c:v>
                </c:pt>
                <c:pt idx="48">
                  <c:v>40900</c:v>
                </c:pt>
                <c:pt idx="49">
                  <c:v>40907</c:v>
                </c:pt>
                <c:pt idx="50">
                  <c:v>40914</c:v>
                </c:pt>
                <c:pt idx="51">
                  <c:v>40921</c:v>
                </c:pt>
                <c:pt idx="52">
                  <c:v>40928</c:v>
                </c:pt>
                <c:pt idx="53">
                  <c:v>40935</c:v>
                </c:pt>
                <c:pt idx="54">
                  <c:v>40942</c:v>
                </c:pt>
                <c:pt idx="55">
                  <c:v>40949</c:v>
                </c:pt>
                <c:pt idx="56">
                  <c:v>40956</c:v>
                </c:pt>
                <c:pt idx="57">
                  <c:v>40963</c:v>
                </c:pt>
                <c:pt idx="58">
                  <c:v>40970</c:v>
                </c:pt>
                <c:pt idx="59">
                  <c:v>40977</c:v>
                </c:pt>
                <c:pt idx="60">
                  <c:v>40984</c:v>
                </c:pt>
                <c:pt idx="61">
                  <c:v>40991</c:v>
                </c:pt>
                <c:pt idx="62">
                  <c:v>40998</c:v>
                </c:pt>
                <c:pt idx="63">
                  <c:v>41005</c:v>
                </c:pt>
                <c:pt idx="64">
                  <c:v>41012</c:v>
                </c:pt>
                <c:pt idx="65">
                  <c:v>41019</c:v>
                </c:pt>
                <c:pt idx="66">
                  <c:v>41026</c:v>
                </c:pt>
                <c:pt idx="67">
                  <c:v>41033</c:v>
                </c:pt>
                <c:pt idx="68">
                  <c:v>41040</c:v>
                </c:pt>
                <c:pt idx="69">
                  <c:v>41047</c:v>
                </c:pt>
                <c:pt idx="70">
                  <c:v>41054</c:v>
                </c:pt>
                <c:pt idx="71">
                  <c:v>41061</c:v>
                </c:pt>
                <c:pt idx="72">
                  <c:v>41068</c:v>
                </c:pt>
                <c:pt idx="73">
                  <c:v>41075</c:v>
                </c:pt>
                <c:pt idx="74">
                  <c:v>41082</c:v>
                </c:pt>
                <c:pt idx="75">
                  <c:v>41089</c:v>
                </c:pt>
                <c:pt idx="76">
                  <c:v>41096</c:v>
                </c:pt>
                <c:pt idx="77">
                  <c:v>41103</c:v>
                </c:pt>
              </c:strCache>
            </c:strRef>
          </c:cat>
          <c:val>
            <c:numRef>
              <c:f>'Statystki tyg'!$S$3:$S$80</c:f>
              <c:numCache>
                <c:ptCount val="78"/>
                <c:pt idx="0">
                  <c:v>100</c:v>
                </c:pt>
                <c:pt idx="1">
                  <c:v>99.55665665942094</c:v>
                </c:pt>
                <c:pt idx="2">
                  <c:v>100.32728033043634</c:v>
                </c:pt>
                <c:pt idx="3">
                  <c:v>100.03858246904132</c:v>
                </c:pt>
                <c:pt idx="4">
                  <c:v>101.14287743162262</c:v>
                </c:pt>
                <c:pt idx="5">
                  <c:v>100.35694701419818</c:v>
                </c:pt>
                <c:pt idx="6">
                  <c:v>101.04598730486856</c:v>
                </c:pt>
                <c:pt idx="7">
                  <c:v>99.75880039292575</c:v>
                </c:pt>
                <c:pt idx="8">
                  <c:v>99.1182051656324</c:v>
                </c:pt>
                <c:pt idx="9">
                  <c:v>100.33272448250968</c:v>
                </c:pt>
                <c:pt idx="10">
                  <c:v>100.90238793134057</c:v>
                </c:pt>
                <c:pt idx="11">
                  <c:v>101.3452578673915</c:v>
                </c:pt>
                <c:pt idx="12">
                  <c:v>100.50480702847922</c:v>
                </c:pt>
                <c:pt idx="13">
                  <c:v>100.99935695884929</c:v>
                </c:pt>
                <c:pt idx="14">
                  <c:v>101.7274531230891</c:v>
                </c:pt>
                <c:pt idx="15">
                  <c:v>100.8805324222926</c:v>
                </c:pt>
                <c:pt idx="16">
                  <c:v>99.02896841208285</c:v>
                </c:pt>
                <c:pt idx="17">
                  <c:v>98.11813809999092</c:v>
                </c:pt>
                <c:pt idx="18">
                  <c:v>98.70902585183228</c:v>
                </c:pt>
                <c:pt idx="19">
                  <c:v>99.72731899180614</c:v>
                </c:pt>
                <c:pt idx="20">
                  <c:v>97.95986318609135</c:v>
                </c:pt>
                <c:pt idx="21">
                  <c:v>96.14774955322446</c:v>
                </c:pt>
                <c:pt idx="22">
                  <c:v>94.81203867714993</c:v>
                </c:pt>
                <c:pt idx="23">
                  <c:v>95.34280405392074</c:v>
                </c:pt>
                <c:pt idx="24">
                  <c:v>92.02155568618012</c:v>
                </c:pt>
                <c:pt idx="25">
                  <c:v>91.76331351609375</c:v>
                </c:pt>
                <c:pt idx="26">
                  <c:v>89.42666766607618</c:v>
                </c:pt>
                <c:pt idx="27">
                  <c:v>87.81535645388445</c:v>
                </c:pt>
                <c:pt idx="28">
                  <c:v>78.19482963354542</c:v>
                </c:pt>
                <c:pt idx="29">
                  <c:v>72.87155351640936</c:v>
                </c:pt>
                <c:pt idx="30">
                  <c:v>71.9973331544916</c:v>
                </c:pt>
                <c:pt idx="31">
                  <c:v>74.65944461758775</c:v>
                </c:pt>
                <c:pt idx="32">
                  <c:v>72.66783176781084</c:v>
                </c:pt>
                <c:pt idx="33">
                  <c:v>69.67062879956444</c:v>
                </c:pt>
                <c:pt idx="34">
                  <c:v>68.7167186754141</c:v>
                </c:pt>
                <c:pt idx="35">
                  <c:v>67.01143666439165</c:v>
                </c:pt>
                <c:pt idx="36">
                  <c:v>69.48158259133746</c:v>
                </c:pt>
                <c:pt idx="37">
                  <c:v>68.8747568870496</c:v>
                </c:pt>
                <c:pt idx="38">
                  <c:v>71.35089927135151</c:v>
                </c:pt>
                <c:pt idx="39">
                  <c:v>70.78533866176427</c:v>
                </c:pt>
                <c:pt idx="40">
                  <c:v>72.23750705175492</c:v>
                </c:pt>
                <c:pt idx="41">
                  <c:v>72.1270459951949</c:v>
                </c:pt>
                <c:pt idx="42">
                  <c:v>71.37725212341651</c:v>
                </c:pt>
                <c:pt idx="43">
                  <c:v>70.57112311279253</c:v>
                </c:pt>
                <c:pt idx="44">
                  <c:v>67.33997940690298</c:v>
                </c:pt>
                <c:pt idx="45">
                  <c:v>68.58882055206853</c:v>
                </c:pt>
                <c:pt idx="46">
                  <c:v>67.40641384234836</c:v>
                </c:pt>
                <c:pt idx="47">
                  <c:v>65.84149627391182</c:v>
                </c:pt>
                <c:pt idx="48">
                  <c:v>66.63129282831586</c:v>
                </c:pt>
                <c:pt idx="49">
                  <c:v>67.03834182173948</c:v>
                </c:pt>
                <c:pt idx="50">
                  <c:v>67.86829886027853</c:v>
                </c:pt>
                <c:pt idx="51">
                  <c:v>68.75040929766487</c:v>
                </c:pt>
                <c:pt idx="52">
                  <c:v>70.803722537606</c:v>
                </c:pt>
                <c:pt idx="53">
                  <c:v>73.3826726052634</c:v>
                </c:pt>
                <c:pt idx="54">
                  <c:v>76.17315559623322</c:v>
                </c:pt>
                <c:pt idx="55">
                  <c:v>77.49308632137061</c:v>
                </c:pt>
                <c:pt idx="56">
                  <c:v>82.27818039079537</c:v>
                </c:pt>
                <c:pt idx="57">
                  <c:v>82.10104819652594</c:v>
                </c:pt>
                <c:pt idx="58">
                  <c:v>81.40246091453858</c:v>
                </c:pt>
                <c:pt idx="59">
                  <c:v>81.87121029812644</c:v>
                </c:pt>
                <c:pt idx="60">
                  <c:v>83.10632271197669</c:v>
                </c:pt>
                <c:pt idx="61">
                  <c:v>80.62410496956399</c:v>
                </c:pt>
                <c:pt idx="62">
                  <c:v>80.97158389319989</c:v>
                </c:pt>
                <c:pt idx="63">
                  <c:v>79.64131716919869</c:v>
                </c:pt>
                <c:pt idx="64">
                  <c:v>79.7887037789516</c:v>
                </c:pt>
                <c:pt idx="65">
                  <c:v>78.69592832655441</c:v>
                </c:pt>
                <c:pt idx="66">
                  <c:v>77.53466701909001</c:v>
                </c:pt>
                <c:pt idx="67">
                  <c:v>77.8374092148191</c:v>
                </c:pt>
                <c:pt idx="68">
                  <c:v>76.31028510787702</c:v>
                </c:pt>
                <c:pt idx="69">
                  <c:v>72.55713400898676</c:v>
                </c:pt>
                <c:pt idx="70">
                  <c:v>71.93515935979924</c:v>
                </c:pt>
                <c:pt idx="71">
                  <c:v>72.5734664652067</c:v>
                </c:pt>
                <c:pt idx="72">
                  <c:v>72.92654734242531</c:v>
                </c:pt>
                <c:pt idx="73">
                  <c:v>73.68999104476433</c:v>
                </c:pt>
                <c:pt idx="74">
                  <c:v>74.59514050251889</c:v>
                </c:pt>
                <c:pt idx="75">
                  <c:v>75.11485977363373</c:v>
                </c:pt>
                <c:pt idx="76">
                  <c:v>75.24575612565734</c:v>
                </c:pt>
                <c:pt idx="77">
                  <c:v>74.3785579309066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'Statystki tyg'!$T$1:$T$2</c:f>
              <c:strCache>
                <c:ptCount val="1"/>
                <c:pt idx="0">
                  <c:v>Indeksy WIG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'Statystki tyg'!$O$3:$O$80</c:f>
              <c:strCache>
                <c:ptCount val="78"/>
                <c:pt idx="0">
                  <c:v>40564</c:v>
                </c:pt>
                <c:pt idx="1">
                  <c:v>40571</c:v>
                </c:pt>
                <c:pt idx="2">
                  <c:v>40578</c:v>
                </c:pt>
                <c:pt idx="3">
                  <c:v>40585</c:v>
                </c:pt>
                <c:pt idx="4">
                  <c:v>40592</c:v>
                </c:pt>
                <c:pt idx="5">
                  <c:v>40599</c:v>
                </c:pt>
                <c:pt idx="6">
                  <c:v>40606</c:v>
                </c:pt>
                <c:pt idx="7">
                  <c:v>40613</c:v>
                </c:pt>
                <c:pt idx="8">
                  <c:v>40620</c:v>
                </c:pt>
                <c:pt idx="9">
                  <c:v>40627</c:v>
                </c:pt>
                <c:pt idx="10">
                  <c:v>40634</c:v>
                </c:pt>
                <c:pt idx="11">
                  <c:v>40641</c:v>
                </c:pt>
                <c:pt idx="12">
                  <c:v>40648</c:v>
                </c:pt>
                <c:pt idx="13">
                  <c:v>40655</c:v>
                </c:pt>
                <c:pt idx="14">
                  <c:v>40662</c:v>
                </c:pt>
                <c:pt idx="15">
                  <c:v>40669</c:v>
                </c:pt>
                <c:pt idx="16">
                  <c:v>40676</c:v>
                </c:pt>
                <c:pt idx="17">
                  <c:v>40683</c:v>
                </c:pt>
                <c:pt idx="18">
                  <c:v>40690</c:v>
                </c:pt>
                <c:pt idx="19">
                  <c:v>40697</c:v>
                </c:pt>
                <c:pt idx="20">
                  <c:v>40704</c:v>
                </c:pt>
                <c:pt idx="21">
                  <c:v>40711</c:v>
                </c:pt>
                <c:pt idx="22">
                  <c:v>40718</c:v>
                </c:pt>
                <c:pt idx="23">
                  <c:v>40725</c:v>
                </c:pt>
                <c:pt idx="24">
                  <c:v>40732</c:v>
                </c:pt>
                <c:pt idx="25">
                  <c:v>40739</c:v>
                </c:pt>
                <c:pt idx="26">
                  <c:v>40746</c:v>
                </c:pt>
                <c:pt idx="27">
                  <c:v>40753</c:v>
                </c:pt>
                <c:pt idx="28">
                  <c:v>40760</c:v>
                </c:pt>
                <c:pt idx="29">
                  <c:v>40767</c:v>
                </c:pt>
                <c:pt idx="30">
                  <c:v>40774</c:v>
                </c:pt>
                <c:pt idx="31">
                  <c:v>40781</c:v>
                </c:pt>
                <c:pt idx="32">
                  <c:v>40788</c:v>
                </c:pt>
                <c:pt idx="33">
                  <c:v>40795</c:v>
                </c:pt>
                <c:pt idx="34">
                  <c:v>40802</c:v>
                </c:pt>
                <c:pt idx="35">
                  <c:v>40809</c:v>
                </c:pt>
                <c:pt idx="36">
                  <c:v>40816</c:v>
                </c:pt>
                <c:pt idx="37">
                  <c:v>40823</c:v>
                </c:pt>
                <c:pt idx="38">
                  <c:v>40830</c:v>
                </c:pt>
                <c:pt idx="39">
                  <c:v>40837</c:v>
                </c:pt>
                <c:pt idx="40">
                  <c:v>40844</c:v>
                </c:pt>
                <c:pt idx="41">
                  <c:v>40851</c:v>
                </c:pt>
                <c:pt idx="42">
                  <c:v>40858</c:v>
                </c:pt>
                <c:pt idx="43">
                  <c:v>40865</c:v>
                </c:pt>
                <c:pt idx="44">
                  <c:v>40872</c:v>
                </c:pt>
                <c:pt idx="45">
                  <c:v>40879</c:v>
                </c:pt>
                <c:pt idx="46">
                  <c:v>40886</c:v>
                </c:pt>
                <c:pt idx="47">
                  <c:v>40893</c:v>
                </c:pt>
                <c:pt idx="48">
                  <c:v>40900</c:v>
                </c:pt>
                <c:pt idx="49">
                  <c:v>40907</c:v>
                </c:pt>
                <c:pt idx="50">
                  <c:v>40914</c:v>
                </c:pt>
                <c:pt idx="51">
                  <c:v>40921</c:v>
                </c:pt>
                <c:pt idx="52">
                  <c:v>40928</c:v>
                </c:pt>
                <c:pt idx="53">
                  <c:v>40935</c:v>
                </c:pt>
                <c:pt idx="54">
                  <c:v>40942</c:v>
                </c:pt>
                <c:pt idx="55">
                  <c:v>40949</c:v>
                </c:pt>
                <c:pt idx="56">
                  <c:v>40956</c:v>
                </c:pt>
                <c:pt idx="57">
                  <c:v>40963</c:v>
                </c:pt>
                <c:pt idx="58">
                  <c:v>40970</c:v>
                </c:pt>
                <c:pt idx="59">
                  <c:v>40977</c:v>
                </c:pt>
                <c:pt idx="60">
                  <c:v>40984</c:v>
                </c:pt>
                <c:pt idx="61">
                  <c:v>40991</c:v>
                </c:pt>
                <c:pt idx="62">
                  <c:v>40998</c:v>
                </c:pt>
                <c:pt idx="63">
                  <c:v>41005</c:v>
                </c:pt>
                <c:pt idx="64">
                  <c:v>41012</c:v>
                </c:pt>
                <c:pt idx="65">
                  <c:v>41019</c:v>
                </c:pt>
                <c:pt idx="66">
                  <c:v>41026</c:v>
                </c:pt>
                <c:pt idx="67">
                  <c:v>41033</c:v>
                </c:pt>
                <c:pt idx="68">
                  <c:v>41040</c:v>
                </c:pt>
                <c:pt idx="69">
                  <c:v>41047</c:v>
                </c:pt>
                <c:pt idx="70">
                  <c:v>41054</c:v>
                </c:pt>
                <c:pt idx="71">
                  <c:v>41061</c:v>
                </c:pt>
                <c:pt idx="72">
                  <c:v>41068</c:v>
                </c:pt>
                <c:pt idx="73">
                  <c:v>41075</c:v>
                </c:pt>
                <c:pt idx="74">
                  <c:v>41082</c:v>
                </c:pt>
                <c:pt idx="75">
                  <c:v>41089</c:v>
                </c:pt>
                <c:pt idx="76">
                  <c:v>41096</c:v>
                </c:pt>
                <c:pt idx="77">
                  <c:v>41103</c:v>
                </c:pt>
              </c:strCache>
            </c:strRef>
          </c:cat>
          <c:val>
            <c:numRef>
              <c:f>'Statystki tyg'!$T$3:$T$80</c:f>
              <c:numCache>
                <c:ptCount val="78"/>
                <c:pt idx="0">
                  <c:v>100</c:v>
                </c:pt>
                <c:pt idx="1">
                  <c:v>99.12173081286603</c:v>
                </c:pt>
                <c:pt idx="2">
                  <c:v>100.32526311657732</c:v>
                </c:pt>
                <c:pt idx="3">
                  <c:v>99.59803893375997</c:v>
                </c:pt>
                <c:pt idx="4">
                  <c:v>98.15286820735649</c:v>
                </c:pt>
                <c:pt idx="5">
                  <c:v>98.38938503735088</c:v>
                </c:pt>
                <c:pt idx="6">
                  <c:v>101.37344743850046</c:v>
                </c:pt>
                <c:pt idx="7">
                  <c:v>100.10180214993545</c:v>
                </c:pt>
                <c:pt idx="8">
                  <c:v>100.77554347130219</c:v>
                </c:pt>
                <c:pt idx="9">
                  <c:v>102.06715037730815</c:v>
                </c:pt>
                <c:pt idx="10">
                  <c:v>103.90817404095552</c:v>
                </c:pt>
                <c:pt idx="11">
                  <c:v>104.92159870096258</c:v>
                </c:pt>
                <c:pt idx="12">
                  <c:v>104.98490494512862</c:v>
                </c:pt>
                <c:pt idx="13">
                  <c:v>104.87995427509205</c:v>
                </c:pt>
                <c:pt idx="14">
                  <c:v>104.96951917690127</c:v>
                </c:pt>
                <c:pt idx="15">
                  <c:v>103.52655241456857</c:v>
                </c:pt>
                <c:pt idx="16">
                  <c:v>102.1749557055697</c:v>
                </c:pt>
                <c:pt idx="17">
                  <c:v>102.55535990418421</c:v>
                </c:pt>
                <c:pt idx="18">
                  <c:v>103.74514367012071</c:v>
                </c:pt>
                <c:pt idx="19">
                  <c:v>104.19267431729062</c:v>
                </c:pt>
                <c:pt idx="20">
                  <c:v>103.0145610658622</c:v>
                </c:pt>
                <c:pt idx="21">
                  <c:v>103.59344797164987</c:v>
                </c:pt>
                <c:pt idx="22">
                  <c:v>101.57969649525631</c:v>
                </c:pt>
                <c:pt idx="23">
                  <c:v>101.90959843144925</c:v>
                </c:pt>
                <c:pt idx="24">
                  <c:v>100.2664697512228</c:v>
                </c:pt>
                <c:pt idx="25">
                  <c:v>100.30313951533357</c:v>
                </c:pt>
                <c:pt idx="26">
                  <c:v>99.70687277858785</c:v>
                </c:pt>
                <c:pt idx="27">
                  <c:v>98.97400224972253</c:v>
                </c:pt>
                <c:pt idx="28">
                  <c:v>88.18234465254295</c:v>
                </c:pt>
                <c:pt idx="29">
                  <c:v>83.77361888591503</c:v>
                </c:pt>
                <c:pt idx="30">
                  <c:v>81.3359506631098</c:v>
                </c:pt>
                <c:pt idx="31">
                  <c:v>85.4631147721636</c:v>
                </c:pt>
                <c:pt idx="32">
                  <c:v>85.10298704300014</c:v>
                </c:pt>
                <c:pt idx="33">
                  <c:v>81.24980715314378</c:v>
                </c:pt>
                <c:pt idx="34">
                  <c:v>82.395721539005</c:v>
                </c:pt>
                <c:pt idx="35">
                  <c:v>77.2467577064752</c:v>
                </c:pt>
                <c:pt idx="36">
                  <c:v>80.32661907923416</c:v>
                </c:pt>
                <c:pt idx="37">
                  <c:v>80.12960568144153</c:v>
                </c:pt>
                <c:pt idx="38">
                  <c:v>84.01643275611161</c:v>
                </c:pt>
                <c:pt idx="39">
                  <c:v>84.07472235824993</c:v>
                </c:pt>
                <c:pt idx="40">
                  <c:v>87.49951460315106</c:v>
                </c:pt>
                <c:pt idx="41">
                  <c:v>85.87023941136945</c:v>
                </c:pt>
                <c:pt idx="42">
                  <c:v>83.6523588817548</c:v>
                </c:pt>
                <c:pt idx="43">
                  <c:v>82.08450082207858</c:v>
                </c:pt>
                <c:pt idx="44">
                  <c:v>78.92617832840027</c:v>
                </c:pt>
                <c:pt idx="45">
                  <c:v>82.16407442010028</c:v>
                </c:pt>
                <c:pt idx="46">
                  <c:v>81.09993759633156</c:v>
                </c:pt>
                <c:pt idx="47">
                  <c:v>77.66662335702347</c:v>
                </c:pt>
                <c:pt idx="48">
                  <c:v>79.31888274554309</c:v>
                </c:pt>
                <c:pt idx="49">
                  <c:v>78.9133323663878</c:v>
                </c:pt>
                <c:pt idx="50">
                  <c:v>79.21548534542306</c:v>
                </c:pt>
                <c:pt idx="51">
                  <c:v>79.74552820937572</c:v>
                </c:pt>
                <c:pt idx="52">
                  <c:v>82.95063771175631</c:v>
                </c:pt>
                <c:pt idx="53">
                  <c:v>84.9427063797203</c:v>
                </c:pt>
                <c:pt idx="54">
                  <c:v>87.59665694333691</c:v>
                </c:pt>
                <c:pt idx="55">
                  <c:v>86.52013594050386</c:v>
                </c:pt>
                <c:pt idx="56">
                  <c:v>88.49734359359068</c:v>
                </c:pt>
                <c:pt idx="57">
                  <c:v>87.10785969270862</c:v>
                </c:pt>
                <c:pt idx="58">
                  <c:v>87.1801497142298</c:v>
                </c:pt>
                <c:pt idx="59">
                  <c:v>86.5558821387183</c:v>
                </c:pt>
                <c:pt idx="60">
                  <c:v>88.59794930588772</c:v>
                </c:pt>
                <c:pt idx="61">
                  <c:v>86.50032125400095</c:v>
                </c:pt>
                <c:pt idx="62">
                  <c:v>86.62032185012076</c:v>
                </c:pt>
                <c:pt idx="63">
                  <c:v>85.6448053721309</c:v>
                </c:pt>
                <c:pt idx="64">
                  <c:v>85.36416728045312</c:v>
                </c:pt>
                <c:pt idx="65">
                  <c:v>84.25704266223742</c:v>
                </c:pt>
                <c:pt idx="66">
                  <c:v>84.48241373107393</c:v>
                </c:pt>
                <c:pt idx="67">
                  <c:v>83.72544652836822</c:v>
                </c:pt>
                <c:pt idx="68">
                  <c:v>82.44555211713833</c:v>
                </c:pt>
                <c:pt idx="69">
                  <c:v>78.20017157335533</c:v>
                </c:pt>
                <c:pt idx="70">
                  <c:v>77.37104028993248</c:v>
                </c:pt>
                <c:pt idx="71">
                  <c:v>78.31853493902258</c:v>
                </c:pt>
                <c:pt idx="72">
                  <c:v>80.8678286944787</c:v>
                </c:pt>
                <c:pt idx="73">
                  <c:v>83.41179095589698</c:v>
                </c:pt>
                <c:pt idx="74">
                  <c:v>84.35395411094922</c:v>
                </c:pt>
                <c:pt idx="75">
                  <c:v>85.66258401563512</c:v>
                </c:pt>
                <c:pt idx="76">
                  <c:v>85.6243399914738</c:v>
                </c:pt>
                <c:pt idx="77">
                  <c:v>84.59294777675649</c:v>
                </c:pt>
              </c:numCache>
            </c:numRef>
          </c:val>
          <c:smooth val="0"/>
        </c:ser>
        <c:marker val="1"/>
        <c:axId val="35883397"/>
        <c:axId val="4140130"/>
      </c:lineChart>
      <c:dateAx>
        <c:axId val="35883397"/>
        <c:scaling>
          <c:orientation val="minMax"/>
          <c:min val="40564"/>
        </c:scaling>
        <c:axPos val="b"/>
        <c:delete val="0"/>
        <c:numFmt formatCode="[$-415]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4013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4140130"/>
        <c:scaling>
          <c:orientation val="minMax"/>
          <c:max val="110"/>
          <c:min val="6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8833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05"/>
          <c:y val="0.92825"/>
          <c:w val="0.94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38100</xdr:rowOff>
    </xdr:from>
    <xdr:to>
      <xdr:col>8</xdr:col>
      <xdr:colOff>47625</xdr:colOff>
      <xdr:row>29</xdr:row>
      <xdr:rowOff>28575</xdr:rowOff>
    </xdr:to>
    <xdr:graphicFrame>
      <xdr:nvGraphicFramePr>
        <xdr:cNvPr id="1" name="Wykres 1"/>
        <xdr:cNvGraphicFramePr/>
      </xdr:nvGraphicFramePr>
      <xdr:xfrm>
        <a:off x="4343400" y="2228850"/>
        <a:ext cx="5591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20.59765625" style="25" customWidth="1"/>
    <col min="2" max="3" width="12" style="25" bestFit="1" customWidth="1"/>
    <col min="4" max="4" width="11.19921875" style="25" bestFit="1" customWidth="1"/>
    <col min="5" max="5" width="10" style="25" customWidth="1"/>
    <col min="6" max="6" width="12" style="25" bestFit="1" customWidth="1"/>
    <col min="7" max="7" width="14" style="25" customWidth="1"/>
    <col min="8" max="9" width="12" style="25" bestFit="1" customWidth="1"/>
    <col min="10" max="10" width="12.8984375" style="25" customWidth="1"/>
    <col min="11" max="11" width="19.19921875" style="25" customWidth="1"/>
    <col min="12" max="12" width="9.19921875" style="25" customWidth="1"/>
    <col min="13" max="13" width="13.69921875" style="25" customWidth="1"/>
    <col min="14" max="14" width="14.19921875" style="25" customWidth="1"/>
    <col min="15" max="16384" width="9" style="25" customWidth="1"/>
  </cols>
  <sheetData>
    <row r="1" spans="1:15" ht="15">
      <c r="A1" s="120" t="s">
        <v>0</v>
      </c>
      <c r="B1" s="121" t="s">
        <v>32</v>
      </c>
      <c r="C1" s="121" t="s">
        <v>2</v>
      </c>
      <c r="D1" s="121" t="s">
        <v>3</v>
      </c>
      <c r="E1" s="122" t="s">
        <v>9</v>
      </c>
      <c r="F1" s="121" t="s">
        <v>8</v>
      </c>
      <c r="G1" s="121" t="s">
        <v>33</v>
      </c>
      <c r="H1" s="121" t="s">
        <v>5</v>
      </c>
      <c r="I1" s="122" t="s">
        <v>10</v>
      </c>
      <c r="J1" s="121" t="s">
        <v>4</v>
      </c>
      <c r="K1" s="121" t="s">
        <v>41</v>
      </c>
      <c r="L1" s="108" t="s">
        <v>28</v>
      </c>
      <c r="M1" s="108" t="s">
        <v>52</v>
      </c>
      <c r="N1" s="109" t="s">
        <v>53</v>
      </c>
      <c r="O1" s="170" t="s">
        <v>69</v>
      </c>
    </row>
    <row r="2" spans="1:15" ht="15.75">
      <c r="A2" s="110" t="s">
        <v>24</v>
      </c>
      <c r="B2" s="37">
        <f>(997.91*4+1001.22)/5</f>
        <v>998.5719999999999</v>
      </c>
      <c r="C2" s="111">
        <v>5</v>
      </c>
      <c r="D2" s="37">
        <f>ROUND(B2*C2,2)</f>
        <v>4992.86</v>
      </c>
      <c r="E2" s="112">
        <f>IF(D2&lt;&gt;0,ROUND(IF(D2*0.0019&gt;3,D2*0.0019,3),2),0)</f>
        <v>9.49</v>
      </c>
      <c r="F2" s="37">
        <f>SUM(D2:E2)</f>
        <v>5002.349999999999</v>
      </c>
      <c r="G2" s="38">
        <v>1009.94</v>
      </c>
      <c r="H2" s="38">
        <f>G2*C2</f>
        <v>5049.700000000001</v>
      </c>
      <c r="I2" s="38">
        <f>H2-ROUND(IF(H2*0.0019&gt;3,H2*0.0019,3),2)</f>
        <v>5040.110000000001</v>
      </c>
      <c r="J2" s="87">
        <f>K2/F2</f>
        <v>0.007548452227453323</v>
      </c>
      <c r="K2" s="37">
        <f>I2-F2</f>
        <v>37.76000000000113</v>
      </c>
      <c r="L2" s="161">
        <v>0.974</v>
      </c>
      <c r="M2" s="114">
        <f>L2/98.5%-1-0.38%</f>
        <v>-0.014967512690355319</v>
      </c>
      <c r="N2" s="125">
        <f>B2-988.62</f>
        <v>9.951999999999884</v>
      </c>
      <c r="O2" s="169" t="s">
        <v>67</v>
      </c>
    </row>
    <row r="3" spans="1:14" ht="15.75">
      <c r="A3" s="97" t="s">
        <v>47</v>
      </c>
      <c r="B3"/>
      <c r="C3" s="98"/>
      <c r="D3" s="118"/>
      <c r="E3" s="126">
        <f>SUBTOTAL(109,E2:E2)</f>
        <v>9.49</v>
      </c>
      <c r="F3" s="127">
        <f>SUBTOTAL(109,F2:F2)</f>
        <v>5002.349999999999</v>
      </c>
      <c r="G3" s="128"/>
      <c r="H3" s="129">
        <f>SUBTOTAL(109,H2:H2)</f>
        <v>5049.700000000001</v>
      </c>
      <c r="I3" s="127">
        <f>SUBTOTAL(109,I2:I2)</f>
        <v>5040.110000000001</v>
      </c>
      <c r="J3" s="130">
        <f>K3/F3</f>
        <v>0.007548452227453323</v>
      </c>
      <c r="K3" s="131">
        <f>SUBTOTAL(109,K2:K2)</f>
        <v>37.76000000000113</v>
      </c>
      <c r="L3" s="139"/>
      <c r="M3" s="139"/>
      <c r="N3" s="132">
        <f>SUBTOTAL(109,N2:N2)</f>
        <v>9.951999999999884</v>
      </c>
    </row>
    <row r="4" spans="1:14" ht="15.75" thickBot="1">
      <c r="A4"/>
      <c r="B4"/>
      <c r="E4" s="78"/>
      <c r="F4" s="80"/>
      <c r="G4" s="79"/>
      <c r="H4" s="79"/>
      <c r="I4" s="79"/>
      <c r="J4" s="81" t="s">
        <v>7</v>
      </c>
      <c r="K4" s="1"/>
      <c r="L4"/>
      <c r="M4"/>
      <c r="N4"/>
    </row>
    <row r="5" spans="1:8" ht="16.5" thickBot="1">
      <c r="A5" s="40" t="s">
        <v>11</v>
      </c>
      <c r="B5" s="33">
        <f>C16+I3</f>
        <v>20843.06</v>
      </c>
      <c r="C5" s="50" t="s">
        <v>66</v>
      </c>
      <c r="D5" s="24"/>
      <c r="F5" s="56"/>
      <c r="G5"/>
      <c r="H5"/>
    </row>
    <row r="6" spans="1:8" ht="15.75">
      <c r="A6" s="167" t="s">
        <v>68</v>
      </c>
      <c r="B6" s="168">
        <f>C16+I3+(N3-K3)</f>
        <v>20815.252</v>
      </c>
      <c r="C6" s="50"/>
      <c r="D6" s="24"/>
      <c r="F6" s="56"/>
      <c r="G6"/>
      <c r="H6"/>
    </row>
    <row r="7" spans="4:8" ht="15.75">
      <c r="D7" s="39"/>
      <c r="G7"/>
      <c r="H7"/>
    </row>
    <row r="8" spans="1:11" ht="15.75">
      <c r="A8" s="140" t="s">
        <v>58</v>
      </c>
      <c r="B8" s="141">
        <v>20000</v>
      </c>
      <c r="C8"/>
      <c r="D8"/>
      <c r="E8" s="24"/>
      <c r="F8" s="32"/>
      <c r="G8"/>
      <c r="H8"/>
      <c r="J8" s="61" t="s">
        <v>45</v>
      </c>
      <c r="K8" s="63">
        <f>E3</f>
        <v>9.49</v>
      </c>
    </row>
    <row r="9" spans="1:11" ht="15.75">
      <c r="A9" s="140" t="s">
        <v>59</v>
      </c>
      <c r="B9" s="142">
        <f>(B5-B8)/B8</f>
        <v>0.042153000000000065</v>
      </c>
      <c r="D9" s="32"/>
      <c r="E9" s="24"/>
      <c r="F9" s="24"/>
      <c r="G9"/>
      <c r="H9"/>
      <c r="J9" s="61" t="s">
        <v>46</v>
      </c>
      <c r="K9" s="63">
        <f>H3-I3</f>
        <v>9.590000000000146</v>
      </c>
    </row>
    <row r="10" spans="1:11" ht="15.75">
      <c r="A10" s="140" t="s">
        <v>60</v>
      </c>
      <c r="B10" s="142">
        <f>(B12-2733.31)/2733.31</f>
        <v>-0.19844437696419354</v>
      </c>
      <c r="C10"/>
      <c r="D10" s="32"/>
      <c r="E10" s="24"/>
      <c r="F10" s="24"/>
      <c r="G10"/>
      <c r="H10"/>
      <c r="J10" s="62" t="s">
        <v>47</v>
      </c>
      <c r="K10" s="64">
        <f>SUM(K8:K9)</f>
        <v>19.080000000000148</v>
      </c>
    </row>
    <row r="11" spans="1:11" ht="15">
      <c r="A11"/>
      <c r="B11"/>
      <c r="C11"/>
      <c r="D11" s="24"/>
      <c r="E11" s="24"/>
      <c r="G11"/>
      <c r="H11"/>
      <c r="J11" s="24"/>
      <c r="K11" s="24"/>
    </row>
    <row r="12" spans="1:14" s="24" customFormat="1" ht="15">
      <c r="A12" s="160" t="s">
        <v>65</v>
      </c>
      <c r="B12" s="144">
        <v>2190.9</v>
      </c>
      <c r="C12" s="25"/>
      <c r="F12" s="25"/>
      <c r="G12" s="60"/>
      <c r="H12"/>
      <c r="I12" s="25"/>
      <c r="M12" s="25"/>
      <c r="N12" s="25"/>
    </row>
    <row r="13" s="24" customFormat="1" ht="15">
      <c r="H13"/>
    </row>
    <row r="14" spans="1:11" s="24" customFormat="1" ht="15.75">
      <c r="A14" s="146"/>
      <c r="B14" s="145"/>
      <c r="D14" s="92"/>
      <c r="H14"/>
      <c r="J14"/>
      <c r="K14"/>
    </row>
    <row r="15" spans="1:11" s="24" customFormat="1" ht="15.75">
      <c r="A15" s="171" t="s">
        <v>25</v>
      </c>
      <c r="B15" s="172"/>
      <c r="C15" s="172"/>
      <c r="G15"/>
      <c r="H15"/>
      <c r="J15"/>
      <c r="K15"/>
    </row>
    <row r="16" spans="1:3" s="24" customFormat="1" ht="15.75">
      <c r="A16" s="93" t="s">
        <v>62</v>
      </c>
      <c r="B16" s="94">
        <f>C16/$C$18</f>
        <v>0.7581876173652046</v>
      </c>
      <c r="C16" s="143">
        <v>15802.95</v>
      </c>
    </row>
    <row r="17" spans="1:11" s="24" customFormat="1" ht="15">
      <c r="A17" s="34" t="s">
        <v>24</v>
      </c>
      <c r="B17" s="94">
        <f>C17/$C$18</f>
        <v>0.2418123826347955</v>
      </c>
      <c r="C17" s="95">
        <f>I2</f>
        <v>5040.110000000001</v>
      </c>
      <c r="G17"/>
      <c r="K17"/>
    </row>
    <row r="18" spans="2:14" s="24" customFormat="1" ht="15">
      <c r="B18" s="35">
        <f>SUM(B16:B17)</f>
        <v>1</v>
      </c>
      <c r="C18" s="36">
        <f>SUM(C16:C17)</f>
        <v>20843.06</v>
      </c>
      <c r="J18"/>
      <c r="K18"/>
      <c r="M18"/>
      <c r="N18"/>
    </row>
    <row r="19" spans="10:14" s="24" customFormat="1" ht="15">
      <c r="J19"/>
      <c r="K19"/>
      <c r="M19"/>
      <c r="N19"/>
    </row>
    <row r="20" spans="1:14" ht="15">
      <c r="A20" s="91" t="s">
        <v>61</v>
      </c>
      <c r="B20" s="95">
        <f>C16</f>
        <v>15802.95</v>
      </c>
      <c r="C20" s="24"/>
      <c r="D20" s="24"/>
      <c r="E20" s="24"/>
      <c r="F20" s="24"/>
      <c r="G20" s="24"/>
      <c r="H20" s="24"/>
      <c r="I20" s="24"/>
      <c r="J20"/>
      <c r="K20"/>
      <c r="M20"/>
      <c r="N20"/>
    </row>
    <row r="21" spans="1:14" ht="15">
      <c r="A21" s="91" t="s">
        <v>55</v>
      </c>
      <c r="B21" s="95">
        <f>I2</f>
        <v>5040.110000000001</v>
      </c>
      <c r="C21" s="24"/>
      <c r="D21" s="24"/>
      <c r="E21" s="24"/>
      <c r="H21" s="24"/>
      <c r="M21"/>
      <c r="N21"/>
    </row>
    <row r="22" spans="1:14" ht="15">
      <c r="A22" s="24"/>
      <c r="B22" s="96">
        <f>SUM(B20:B21)</f>
        <v>20843.06</v>
      </c>
      <c r="C22" s="24"/>
      <c r="D22" s="24"/>
      <c r="E22" s="32"/>
      <c r="M22"/>
      <c r="N22"/>
    </row>
    <row r="23" spans="3:14" ht="15">
      <c r="C23" s="24"/>
      <c r="D23" s="24"/>
      <c r="E23" s="32"/>
      <c r="F23" s="24"/>
      <c r="G23" s="24"/>
      <c r="M23"/>
      <c r="N23"/>
    </row>
    <row r="24" spans="3:14" ht="15">
      <c r="C24" s="24"/>
      <c r="D24" s="24"/>
      <c r="E24" s="32"/>
      <c r="F24" s="24"/>
      <c r="G24" s="24"/>
      <c r="M24"/>
      <c r="N24"/>
    </row>
    <row r="25" spans="2:4" ht="15">
      <c r="B25"/>
      <c r="D25" s="24"/>
    </row>
    <row r="26" spans="2:4" ht="15">
      <c r="B26"/>
      <c r="C26"/>
      <c r="D26" s="24"/>
    </row>
    <row r="27" spans="2:4" ht="15">
      <c r="B27"/>
      <c r="C27"/>
      <c r="D27" s="24"/>
    </row>
    <row r="28" spans="3:4" ht="15">
      <c r="C28"/>
      <c r="D28" s="24"/>
    </row>
    <row r="29" ht="15">
      <c r="D29" s="24"/>
    </row>
    <row r="30" ht="15">
      <c r="D30" s="24"/>
    </row>
    <row r="31" ht="15">
      <c r="D31" s="24"/>
    </row>
    <row r="32" ht="15">
      <c r="D32" s="24"/>
    </row>
  </sheetData>
  <sheetProtection/>
  <mergeCells count="1">
    <mergeCell ref="A15:C15"/>
  </mergeCells>
  <conditionalFormatting sqref="J2">
    <cfRule type="cellIs" priority="17" dxfId="16" operator="greaterThan">
      <formula>0</formula>
    </cfRule>
    <cfRule type="cellIs" priority="18" dxfId="17" operator="lessThan">
      <formula>0</formula>
    </cfRule>
  </conditionalFormatting>
  <conditionalFormatting sqref="J3:K3 K2">
    <cfRule type="cellIs" priority="15" dxfId="17" operator="lessThan">
      <formula>0</formula>
    </cfRule>
    <cfRule type="cellIs" priority="16" dxfId="16" operator="greaterThan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A1">
      <selection activeCell="L7" sqref="L7"/>
    </sheetView>
  </sheetViews>
  <sheetFormatPr defaultColWidth="8.796875" defaultRowHeight="14.25"/>
  <cols>
    <col min="1" max="1" width="18.3984375" style="4" bestFit="1" customWidth="1"/>
    <col min="2" max="2" width="10.5" style="4" bestFit="1" customWidth="1"/>
    <col min="3" max="3" width="10.19921875" style="4" customWidth="1"/>
    <col min="4" max="4" width="10.5" style="4" bestFit="1" customWidth="1"/>
    <col min="5" max="5" width="10" style="4" customWidth="1"/>
    <col min="6" max="6" width="12" style="4" bestFit="1" customWidth="1"/>
    <col min="7" max="7" width="10.5" style="4" bestFit="1" customWidth="1"/>
    <col min="8" max="9" width="12" style="4" bestFit="1" customWidth="1"/>
    <col min="10" max="10" width="12.8984375" style="4" customWidth="1"/>
    <col min="11" max="11" width="19.19921875" style="4" customWidth="1"/>
    <col min="12" max="12" width="9.8984375" style="4" customWidth="1"/>
    <col min="13" max="13" width="13.69921875" style="4" customWidth="1"/>
    <col min="14" max="14" width="14.19921875" style="4" customWidth="1"/>
    <col min="15" max="16384" width="9" style="4" customWidth="1"/>
  </cols>
  <sheetData>
    <row r="1" spans="1:14" s="3" customFormat="1" ht="15">
      <c r="A1" s="102" t="s">
        <v>0</v>
      </c>
      <c r="B1" s="103" t="s">
        <v>1</v>
      </c>
      <c r="C1" s="103" t="s">
        <v>2</v>
      </c>
      <c r="D1" s="103" t="s">
        <v>3</v>
      </c>
      <c r="E1" s="104" t="s">
        <v>9</v>
      </c>
      <c r="F1" s="103" t="s">
        <v>8</v>
      </c>
      <c r="G1" s="103" t="s">
        <v>6</v>
      </c>
      <c r="H1" s="103" t="s">
        <v>5</v>
      </c>
      <c r="I1" s="105" t="s">
        <v>10</v>
      </c>
      <c r="J1" s="106" t="s">
        <v>4</v>
      </c>
      <c r="K1" s="107" t="s">
        <v>12</v>
      </c>
      <c r="L1" s="108" t="s">
        <v>28</v>
      </c>
      <c r="M1" s="108" t="s">
        <v>52</v>
      </c>
      <c r="N1" s="109" t="s">
        <v>53</v>
      </c>
    </row>
    <row r="2" spans="1:15" s="25" customFormat="1" ht="15.75">
      <c r="A2" s="100" t="s">
        <v>50</v>
      </c>
      <c r="B2" s="28">
        <v>5.27</v>
      </c>
      <c r="C2" s="27">
        <v>200</v>
      </c>
      <c r="D2" s="28">
        <f>ROUND(B2*C2,2)</f>
        <v>1054</v>
      </c>
      <c r="E2" s="29">
        <f>IF(D2&lt;&gt;0,ROUND(IF(D2*0.0029&gt;3,D2*0.0029,3),2),0)</f>
        <v>3.06</v>
      </c>
      <c r="F2" s="28">
        <f>SUM(D2:E2)</f>
        <v>1057.06</v>
      </c>
      <c r="G2" s="30">
        <v>5.85</v>
      </c>
      <c r="H2" s="30">
        <f>G2*C2</f>
        <v>1170</v>
      </c>
      <c r="I2" s="30">
        <f>H2-ROUND(IF(H2*0.0029&gt;3,H2*0.0029,3),2)</f>
        <v>1166.61</v>
      </c>
      <c r="J2" s="87">
        <f aca="true" t="shared" si="0" ref="J2:J7">K2/F2</f>
        <v>0.10363650123928629</v>
      </c>
      <c r="K2" s="90">
        <f>I2-F2</f>
        <v>109.54999999999995</v>
      </c>
      <c r="L2" s="99">
        <v>5.85</v>
      </c>
      <c r="M2" s="53">
        <f>L2/B2-1-0.58%</f>
        <v>0.10425692599620498</v>
      </c>
      <c r="N2" s="101">
        <f>(L2*C2*(1-0.0029))-F2</f>
        <v>109.54700000000003</v>
      </c>
      <c r="O2" s="55"/>
    </row>
    <row r="3" spans="1:15" s="25" customFormat="1" ht="15.75">
      <c r="A3" s="100" t="s">
        <v>42</v>
      </c>
      <c r="B3" s="28">
        <v>1.79</v>
      </c>
      <c r="C3" s="27">
        <v>600</v>
      </c>
      <c r="D3" s="28">
        <f>ROUND(B3*C3,2)</f>
        <v>1074</v>
      </c>
      <c r="E3" s="29">
        <f>IF(D3&lt;&gt;0,ROUND(IF(D3*0.0029&gt;3,D3*0.0029,3),2),0)</f>
        <v>3.11</v>
      </c>
      <c r="F3" s="28">
        <f>SUM(D3:E3)</f>
        <v>1077.11</v>
      </c>
      <c r="G3" s="30">
        <f>(1.78*200+1.79*400)/600</f>
        <v>1.7866666666666666</v>
      </c>
      <c r="H3" s="30">
        <f>G3*C3</f>
        <v>1072</v>
      </c>
      <c r="I3" s="30">
        <f>H3-ROUND(IF(H3*0.0029&gt;3,H3*0.0029,3),2)</f>
        <v>1068.89</v>
      </c>
      <c r="J3" s="87">
        <f t="shared" si="0"/>
        <v>-0.007631532526854082</v>
      </c>
      <c r="K3" s="90">
        <f>I3-F3</f>
        <v>-8.2199999999998</v>
      </c>
      <c r="L3" s="99">
        <v>1.79</v>
      </c>
      <c r="M3" s="53">
        <f>L3/B3-1-0.58%</f>
        <v>-0.0058</v>
      </c>
      <c r="N3" s="101">
        <f>(L3*C3*(1-0.0029))-F3</f>
        <v>-6.2246000000000095</v>
      </c>
      <c r="O3" s="55"/>
    </row>
    <row r="4" spans="1:15" s="25" customFormat="1" ht="15.75">
      <c r="A4" s="100" t="s">
        <v>51</v>
      </c>
      <c r="B4" s="28">
        <v>10.05</v>
      </c>
      <c r="C4" s="27">
        <v>104</v>
      </c>
      <c r="D4" s="28">
        <f>ROUND(B4*C4,2)</f>
        <v>1045.2</v>
      </c>
      <c r="E4" s="29">
        <f>IF(D4&lt;&gt;0,ROUND(IF(D4*0.0029&gt;3,D4*0.0029,3),2),0)</f>
        <v>3.03</v>
      </c>
      <c r="F4" s="28">
        <f>SUM(D4:E4)</f>
        <v>1048.23</v>
      </c>
      <c r="G4" s="30">
        <v>12.61</v>
      </c>
      <c r="H4" s="30">
        <f>G4*C4</f>
        <v>1311.44</v>
      </c>
      <c r="I4" s="30">
        <f>H4-ROUND(IF(H4*0.0029&gt;3,H4*0.0029,3),2)</f>
        <v>1307.64</v>
      </c>
      <c r="J4" s="87">
        <f t="shared" si="0"/>
        <v>0.24747431384333599</v>
      </c>
      <c r="K4" s="90">
        <f>I4-F4</f>
        <v>259.4100000000001</v>
      </c>
      <c r="L4" s="99">
        <v>12.65</v>
      </c>
      <c r="M4" s="53">
        <f>L4/B4-1-0.58%</f>
        <v>0.25290646766169145</v>
      </c>
      <c r="N4" s="101">
        <f>(L4*C4*(1-0.0029))-F4</f>
        <v>263.55476</v>
      </c>
      <c r="O4" s="55"/>
    </row>
    <row r="5" spans="1:15" s="25" customFormat="1" ht="15.75">
      <c r="A5" s="110" t="s">
        <v>27</v>
      </c>
      <c r="B5" s="37">
        <f>(213.5*9+234*5)/14</f>
        <v>220.82142857142858</v>
      </c>
      <c r="C5" s="111">
        <v>14</v>
      </c>
      <c r="D5" s="37">
        <f>ROUND(B5*C5,2)</f>
        <v>3091.5</v>
      </c>
      <c r="E5" s="112">
        <f>IF(D5&lt;&gt;0,ROUND(IF(D5*0.0029&gt;3,D5*0.0029,3),2),0)</f>
        <v>8.97</v>
      </c>
      <c r="F5" s="37">
        <f>SUM(D5:E5)</f>
        <v>3100.47</v>
      </c>
      <c r="G5" s="38">
        <v>228.6</v>
      </c>
      <c r="H5" s="38">
        <f>G5*C5</f>
        <v>3200.4</v>
      </c>
      <c r="I5" s="38">
        <f>H5-ROUND(IF(H5*0.0029&gt;3,H5*0.0029,3),2)</f>
        <v>3191.12</v>
      </c>
      <c r="J5" s="87">
        <f t="shared" si="0"/>
        <v>0.029237502701203396</v>
      </c>
      <c r="K5" s="90">
        <f>I5-F5</f>
        <v>90.65000000000009</v>
      </c>
      <c r="L5" s="113">
        <v>228.9</v>
      </c>
      <c r="M5" s="114">
        <f>L5/B5-1-0.58%</f>
        <v>0.03078418243571071</v>
      </c>
      <c r="N5" s="115">
        <f>(L5*C5*(1-0.0029))-F5</f>
        <v>94.83665999999994</v>
      </c>
      <c r="O5" s="55"/>
    </row>
    <row r="6" spans="1:15" s="25" customFormat="1" ht="15.75">
      <c r="A6" s="100" t="s">
        <v>56</v>
      </c>
      <c r="B6" s="28">
        <v>18.71</v>
      </c>
      <c r="C6" s="27">
        <v>110</v>
      </c>
      <c r="D6" s="28">
        <f>ROUND(B6*C6,2)</f>
        <v>2058.1</v>
      </c>
      <c r="E6" s="29">
        <f>IF(D6&lt;&gt;0,ROUND(IF(D6*0.0029&gt;3,D6*0.0029,3),2),0)</f>
        <v>5.97</v>
      </c>
      <c r="F6" s="28">
        <f>SUM(D6:E6)</f>
        <v>2064.0699999999997</v>
      </c>
      <c r="G6" s="30">
        <f>(18.82*1+109*18.73)/110</f>
        <v>18.73081818181818</v>
      </c>
      <c r="H6" s="30">
        <f>G6*C6</f>
        <v>2060.39</v>
      </c>
      <c r="I6" s="30">
        <f>H6-ROUND(IF(H6*0.0029&gt;3,H6*0.0029,3),2)</f>
        <v>2054.41</v>
      </c>
      <c r="J6" s="59">
        <f t="shared" si="0"/>
        <v>-0.004680073834705149</v>
      </c>
      <c r="K6" s="28">
        <f>I6-F6</f>
        <v>-9.659999999999854</v>
      </c>
      <c r="L6" s="123">
        <v>18.95</v>
      </c>
      <c r="M6" s="124" t="s">
        <v>54</v>
      </c>
      <c r="N6" s="119" t="s">
        <v>54</v>
      </c>
      <c r="O6" s="55" t="s">
        <v>64</v>
      </c>
    </row>
    <row r="7" spans="1:14" s="5" customFormat="1" ht="15.75">
      <c r="A7" s="148" t="s">
        <v>57</v>
      </c>
      <c r="B7" s="149"/>
      <c r="C7" s="150"/>
      <c r="D7" s="149"/>
      <c r="E7" s="151">
        <f>SUBTOTAL(109,E2:E6)</f>
        <v>24.14</v>
      </c>
      <c r="F7" s="152">
        <f>SUBTOTAL(109,F2:F6)</f>
        <v>8346.939999999999</v>
      </c>
      <c r="G7" s="153"/>
      <c r="H7" s="154">
        <f>SUBTOTAL(109,H2:H6)</f>
        <v>8814.23</v>
      </c>
      <c r="I7" s="152">
        <f>SUBTOTAL(109,I2:I6)</f>
        <v>8788.67</v>
      </c>
      <c r="J7" s="155">
        <f t="shared" si="0"/>
        <v>0.052921190280510046</v>
      </c>
      <c r="K7" s="156">
        <f>SUBTOTAL(109,K2:K6)</f>
        <v>441.7300000000005</v>
      </c>
      <c r="L7" s="157"/>
      <c r="M7" s="158"/>
      <c r="N7" s="159">
        <f>SUBTOTAL(109,N2:N6)</f>
        <v>461.71381999999994</v>
      </c>
    </row>
    <row r="8" spans="7:14" ht="15.75">
      <c r="G8" s="6"/>
      <c r="H8" s="6"/>
      <c r="I8" s="6"/>
      <c r="J8" s="133" t="s">
        <v>7</v>
      </c>
      <c r="K8" s="133" t="s">
        <v>31</v>
      </c>
      <c r="L8" s="5"/>
      <c r="N8" s="5"/>
    </row>
    <row r="9" spans="1:10" ht="15.75">
      <c r="A9" s="48" t="s">
        <v>21</v>
      </c>
      <c r="B9" s="49">
        <f>E7+(H7-I7)</f>
        <v>49.69999999999949</v>
      </c>
      <c r="I9"/>
      <c r="J9"/>
    </row>
    <row r="11" spans="1:9" ht="15">
      <c r="A11" s="88" t="s">
        <v>49</v>
      </c>
      <c r="I11" s="56"/>
    </row>
    <row r="13" spans="1:4" ht="15">
      <c r="A13" s="173" t="s">
        <v>48</v>
      </c>
      <c r="B13" s="174"/>
      <c r="C13" s="175"/>
      <c r="D13" s="82">
        <v>114.4</v>
      </c>
    </row>
    <row r="14" spans="1:5" ht="15">
      <c r="A14" s="176"/>
      <c r="B14" s="177"/>
      <c r="C14" s="178"/>
      <c r="D14" s="82">
        <v>114.28</v>
      </c>
      <c r="E14" s="147" t="s">
        <v>63</v>
      </c>
    </row>
    <row r="15" spans="1:4" ht="15">
      <c r="A15"/>
      <c r="B15"/>
      <c r="C15"/>
      <c r="D15"/>
    </row>
    <row r="16" spans="1:4" ht="15">
      <c r="A16"/>
      <c r="B16"/>
      <c r="C16"/>
      <c r="D16"/>
    </row>
  </sheetData>
  <sheetProtection/>
  <mergeCells count="1">
    <mergeCell ref="A13:C14"/>
  </mergeCells>
  <conditionalFormatting sqref="J2:J7">
    <cfRule type="cellIs" priority="37" dxfId="16" operator="greaterThan">
      <formula>0</formula>
    </cfRule>
    <cfRule type="cellIs" priority="38" dxfId="17" operator="lessThan">
      <formula>0</formula>
    </cfRule>
  </conditionalFormatting>
  <conditionalFormatting sqref="K2:K6 J7:K7">
    <cfRule type="cellIs" priority="35" dxfId="17" operator="lessThan">
      <formula>0</formula>
    </cfRule>
    <cfRule type="cellIs" priority="36" dxfId="16" operator="greaterThan">
      <formula>0</formula>
    </cfRule>
  </conditionalFormatting>
  <conditionalFormatting sqref="J6">
    <cfRule type="cellIs" priority="3" dxfId="16" operator="greaterThan">
      <formula>0</formula>
    </cfRule>
    <cfRule type="cellIs" priority="4" dxfId="17" operator="lessThan">
      <formula>0</formula>
    </cfRule>
  </conditionalFormatting>
  <conditionalFormatting sqref="K6">
    <cfRule type="cellIs" priority="1" dxfId="17" operator="lessThan">
      <formula>0</formula>
    </cfRule>
    <cfRule type="cellIs" priority="2" dxfId="16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85" zoomScaleNormal="85" zoomScalePageLayoutView="0" workbookViewId="0" topLeftCell="A1">
      <selection activeCell="J83" sqref="J83"/>
    </sheetView>
  </sheetViews>
  <sheetFormatPr defaultColWidth="8.796875" defaultRowHeight="14.25"/>
  <cols>
    <col min="1" max="1" width="13" style="1" customWidth="1"/>
    <col min="2" max="2" width="10.8984375" style="2" bestFit="1" customWidth="1"/>
    <col min="3" max="3" width="10.09765625" style="1" customWidth="1"/>
    <col min="4" max="7" width="9.8984375" style="1" customWidth="1"/>
    <col min="8" max="8" width="9.5" style="1" hidden="1" customWidth="1"/>
    <col min="9" max="9" width="9.5" style="1" customWidth="1"/>
    <col min="10" max="13" width="9" style="1" customWidth="1"/>
    <col min="14" max="14" width="24.8984375" style="1" bestFit="1" customWidth="1"/>
    <col min="15" max="15" width="9.19921875" style="1" bestFit="1" customWidth="1"/>
    <col min="16" max="16384" width="9" style="1" customWidth="1"/>
  </cols>
  <sheetData>
    <row r="1" spans="1:20" ht="15">
      <c r="A1" s="181" t="s">
        <v>17</v>
      </c>
      <c r="B1" s="180" t="s">
        <v>18</v>
      </c>
      <c r="C1" s="184" t="s">
        <v>7</v>
      </c>
      <c r="D1" s="183" t="s">
        <v>19</v>
      </c>
      <c r="E1" s="183"/>
      <c r="F1" s="183"/>
      <c r="G1" s="183"/>
      <c r="J1" s="182" t="s">
        <v>19</v>
      </c>
      <c r="K1" s="182"/>
      <c r="L1" s="182"/>
      <c r="M1" s="182"/>
      <c r="O1" s="162"/>
      <c r="P1" s="179" t="s">
        <v>22</v>
      </c>
      <c r="Q1" s="179"/>
      <c r="R1" s="179"/>
      <c r="S1" s="179"/>
      <c r="T1" s="179"/>
    </row>
    <row r="2" spans="1:20" ht="15.75" customHeight="1">
      <c r="A2" s="181"/>
      <c r="B2" s="180"/>
      <c r="C2" s="184"/>
      <c r="D2" s="10" t="s">
        <v>13</v>
      </c>
      <c r="E2" s="10" t="s">
        <v>14</v>
      </c>
      <c r="F2" s="10" t="s">
        <v>15</v>
      </c>
      <c r="G2" s="10" t="s">
        <v>16</v>
      </c>
      <c r="J2" s="7" t="s">
        <v>13</v>
      </c>
      <c r="K2" s="7" t="s">
        <v>14</v>
      </c>
      <c r="L2" s="7" t="s">
        <v>15</v>
      </c>
      <c r="M2" s="7" t="s">
        <v>16</v>
      </c>
      <c r="O2" s="162"/>
      <c r="P2" s="163" t="s">
        <v>7</v>
      </c>
      <c r="Q2" s="163" t="s">
        <v>13</v>
      </c>
      <c r="R2" s="163" t="s">
        <v>14</v>
      </c>
      <c r="S2" s="163" t="s">
        <v>15</v>
      </c>
      <c r="T2" s="163" t="s">
        <v>16</v>
      </c>
    </row>
    <row r="3" spans="1:20" ht="14.25" customHeight="1">
      <c r="A3" s="13">
        <v>40564</v>
      </c>
      <c r="B3" s="14">
        <v>20000</v>
      </c>
      <c r="C3" s="17"/>
      <c r="D3" s="11"/>
      <c r="E3" s="11"/>
      <c r="F3" s="9"/>
      <c r="G3" s="11"/>
      <c r="J3" s="1">
        <v>2733.31</v>
      </c>
      <c r="K3" s="1">
        <v>2848.25</v>
      </c>
      <c r="L3" s="1">
        <v>12674.15</v>
      </c>
      <c r="M3" s="1">
        <v>47641.43</v>
      </c>
      <c r="O3" s="164">
        <v>40564</v>
      </c>
      <c r="P3" s="165">
        <v>100</v>
      </c>
      <c r="Q3" s="165">
        <v>100</v>
      </c>
      <c r="R3" s="165">
        <v>100</v>
      </c>
      <c r="S3" s="165">
        <v>100</v>
      </c>
      <c r="T3" s="165">
        <v>100</v>
      </c>
    </row>
    <row r="4" spans="1:20" ht="15.75" customHeight="1">
      <c r="A4" s="15">
        <v>40571</v>
      </c>
      <c r="B4" s="16">
        <v>19964.6</v>
      </c>
      <c r="C4" s="8">
        <f aca="true" t="shared" si="0" ref="C4:C10">B4/B3-1</f>
        <v>-0.0017700000000000493</v>
      </c>
      <c r="D4" s="9">
        <f aca="true" t="shared" si="1" ref="D4:G5">J4/J3-1</f>
        <v>-0.010386674032583199</v>
      </c>
      <c r="E4" s="9">
        <f t="shared" si="1"/>
        <v>-0.0053927850434477564</v>
      </c>
      <c r="F4" s="9">
        <f t="shared" si="1"/>
        <v>-0.00443343340579061</v>
      </c>
      <c r="G4" s="9">
        <f t="shared" si="1"/>
        <v>-0.008782691871339732</v>
      </c>
      <c r="J4" s="1">
        <v>2704.92</v>
      </c>
      <c r="K4" s="1">
        <v>2832.89</v>
      </c>
      <c r="L4" s="1">
        <v>12617.96</v>
      </c>
      <c r="M4" s="1">
        <v>47223.01</v>
      </c>
      <c r="O4" s="164">
        <v>40571</v>
      </c>
      <c r="P4" s="165">
        <f aca="true" t="shared" si="2" ref="P4:T5">P3*(1+C4)</f>
        <v>99.823</v>
      </c>
      <c r="Q4" s="165">
        <f t="shared" si="2"/>
        <v>98.96133259674168</v>
      </c>
      <c r="R4" s="165">
        <f t="shared" si="2"/>
        <v>99.46072149565522</v>
      </c>
      <c r="S4" s="165">
        <f t="shared" si="2"/>
        <v>99.55665665942094</v>
      </c>
      <c r="T4" s="165">
        <f t="shared" si="2"/>
        <v>99.12173081286603</v>
      </c>
    </row>
    <row r="5" spans="1:20" ht="15">
      <c r="A5" s="15">
        <v>40578</v>
      </c>
      <c r="B5" s="16">
        <v>19997.14</v>
      </c>
      <c r="C5" s="8">
        <f t="shared" si="0"/>
        <v>0.0016298848962663648</v>
      </c>
      <c r="D5" s="9">
        <f t="shared" si="1"/>
        <v>0.01383405054493303</v>
      </c>
      <c r="E5" s="9">
        <f t="shared" si="1"/>
        <v>0.010325144993275526</v>
      </c>
      <c r="F5" s="9">
        <f t="shared" si="1"/>
        <v>0.007740553940573491</v>
      </c>
      <c r="G5" s="9">
        <f t="shared" si="1"/>
        <v>0.012141962149384344</v>
      </c>
      <c r="J5" s="1">
        <v>2742.34</v>
      </c>
      <c r="K5" s="1">
        <v>2862.14</v>
      </c>
      <c r="L5" s="1">
        <v>12715.63</v>
      </c>
      <c r="M5" s="1">
        <v>47796.39</v>
      </c>
      <c r="O5" s="164">
        <v>40578</v>
      </c>
      <c r="P5" s="165">
        <f t="shared" si="2"/>
        <v>99.9857</v>
      </c>
      <c r="Q5" s="165">
        <f t="shared" si="2"/>
        <v>100.33036867387894</v>
      </c>
      <c r="R5" s="165">
        <f t="shared" si="2"/>
        <v>100.48766786623365</v>
      </c>
      <c r="S5" s="165">
        <f t="shared" si="2"/>
        <v>100.32728033043634</v>
      </c>
      <c r="T5" s="165">
        <f t="shared" si="2"/>
        <v>100.32526311657732</v>
      </c>
    </row>
    <row r="6" spans="1:20" ht="15">
      <c r="A6" s="15">
        <v>40585</v>
      </c>
      <c r="B6" s="16">
        <v>19842.56</v>
      </c>
      <c r="C6" s="8">
        <f t="shared" si="0"/>
        <v>-0.007730105405072796</v>
      </c>
      <c r="D6" s="9">
        <f aca="true" t="shared" si="3" ref="D6:D15">J6/J5-1</f>
        <v>-0.009473661179868254</v>
      </c>
      <c r="E6" s="9">
        <f aca="true" t="shared" si="4" ref="E6:E15">K6/K5-1</f>
        <v>-0.0018447734911638536</v>
      </c>
      <c r="F6" s="9">
        <f aca="true" t="shared" si="5" ref="F6:F15">L6/L5-1</f>
        <v>-0.002877560923052802</v>
      </c>
      <c r="G6" s="9">
        <f aca="true" t="shared" si="6" ref="G6:G15">M6/M5-1</f>
        <v>-0.0072486645957989815</v>
      </c>
      <c r="J6" s="1">
        <v>2716.36</v>
      </c>
      <c r="K6" s="1">
        <v>2856.86</v>
      </c>
      <c r="L6" s="1">
        <v>12679.04</v>
      </c>
      <c r="M6" s="1">
        <v>47449.93</v>
      </c>
      <c r="O6" s="164">
        <v>40585</v>
      </c>
      <c r="P6" s="165">
        <f aca="true" t="shared" si="7" ref="P6:P15">P5*(1+C6)</f>
        <v>99.2128</v>
      </c>
      <c r="Q6" s="165">
        <f aca="true" t="shared" si="8" ref="Q6:Q15">Q5*(1+D6)</f>
        <v>99.37987275501133</v>
      </c>
      <c r="R6" s="165">
        <f aca="true" t="shared" si="9" ref="R6:R15">R5*(1+E6)</f>
        <v>100.30229088036515</v>
      </c>
      <c r="S6" s="165">
        <f aca="true" t="shared" si="10" ref="S6:S15">S5*(1+F6)</f>
        <v>100.03858246904132</v>
      </c>
      <c r="T6" s="165">
        <f aca="true" t="shared" si="11" ref="T6:T15">T5*(1+G6)</f>
        <v>99.59803893375997</v>
      </c>
    </row>
    <row r="7" spans="1:20" ht="15">
      <c r="A7" s="15">
        <v>40592</v>
      </c>
      <c r="B7" s="16">
        <v>19841.5</v>
      </c>
      <c r="C7" s="8">
        <f t="shared" si="0"/>
        <v>-5.342052638379613E-05</v>
      </c>
      <c r="D7" s="9">
        <f t="shared" si="3"/>
        <v>-0.019448821216628054</v>
      </c>
      <c r="E7" s="9">
        <f t="shared" si="4"/>
        <v>-0.01513549841434314</v>
      </c>
      <c r="F7" s="9">
        <f t="shared" si="5"/>
        <v>0.01103869062641949</v>
      </c>
      <c r="G7" s="9">
        <f t="shared" si="6"/>
        <v>-0.014510031943145152</v>
      </c>
      <c r="J7" s="1">
        <v>2663.53</v>
      </c>
      <c r="K7" s="1">
        <v>2813.62</v>
      </c>
      <c r="L7" s="1">
        <v>12819</v>
      </c>
      <c r="M7" s="1">
        <v>46761.43</v>
      </c>
      <c r="O7" s="164">
        <v>40592</v>
      </c>
      <c r="P7" s="165">
        <f t="shared" si="7"/>
        <v>99.2075</v>
      </c>
      <c r="Q7" s="165">
        <f t="shared" si="8"/>
        <v>97.44705137726787</v>
      </c>
      <c r="R7" s="165">
        <f t="shared" si="9"/>
        <v>98.7841657157904</v>
      </c>
      <c r="S7" s="165">
        <f t="shared" si="10"/>
        <v>101.14287743162262</v>
      </c>
      <c r="T7" s="165">
        <f t="shared" si="11"/>
        <v>98.15286820735649</v>
      </c>
    </row>
    <row r="8" spans="1:20" ht="15">
      <c r="A8" s="15">
        <v>40599</v>
      </c>
      <c r="B8" s="16">
        <v>19823.18</v>
      </c>
      <c r="C8" s="8">
        <f t="shared" si="0"/>
        <v>-0.000923317289519443</v>
      </c>
      <c r="D8" s="9">
        <f t="shared" si="3"/>
        <v>0.003750661715843151</v>
      </c>
      <c r="E8" s="9">
        <f t="shared" si="4"/>
        <v>0.005228140260589598</v>
      </c>
      <c r="F8" s="9">
        <f t="shared" si="5"/>
        <v>-0.007770496918636405</v>
      </c>
      <c r="G8" s="9">
        <f t="shared" si="6"/>
        <v>0.0024096782326801236</v>
      </c>
      <c r="J8" s="1">
        <v>2673.52</v>
      </c>
      <c r="K8" s="1">
        <v>2828.33</v>
      </c>
      <c r="L8" s="1">
        <v>12719.39</v>
      </c>
      <c r="M8" s="1">
        <v>46874.11</v>
      </c>
      <c r="O8" s="166">
        <v>40599</v>
      </c>
      <c r="P8" s="165">
        <f t="shared" si="7"/>
        <v>99.1159</v>
      </c>
      <c r="Q8" s="165">
        <f t="shared" si="8"/>
        <v>97.8125423021904</v>
      </c>
      <c r="R8" s="165">
        <f t="shared" si="9"/>
        <v>99.30062318967788</v>
      </c>
      <c r="S8" s="165">
        <f t="shared" si="10"/>
        <v>100.35694701419818</v>
      </c>
      <c r="T8" s="165">
        <f t="shared" si="11"/>
        <v>98.38938503735088</v>
      </c>
    </row>
    <row r="9" spans="1:20" ht="15">
      <c r="A9" s="15">
        <v>40606</v>
      </c>
      <c r="B9" s="12">
        <v>19992.22</v>
      </c>
      <c r="C9" s="8">
        <f t="shared" si="0"/>
        <v>0.008527390660832523</v>
      </c>
      <c r="D9" s="9">
        <f t="shared" si="3"/>
        <v>0.04099090337831779</v>
      </c>
      <c r="E9" s="9">
        <f t="shared" si="4"/>
        <v>0.022592837469460836</v>
      </c>
      <c r="F9" s="9">
        <f t="shared" si="5"/>
        <v>0.006865895298437952</v>
      </c>
      <c r="G9" s="9">
        <f t="shared" si="6"/>
        <v>0.030329109182019698</v>
      </c>
      <c r="J9" s="1">
        <v>2783.11</v>
      </c>
      <c r="K9" s="1">
        <v>2892.23</v>
      </c>
      <c r="L9" s="1">
        <v>12806.72</v>
      </c>
      <c r="M9" s="1">
        <v>48295.76</v>
      </c>
      <c r="O9" s="166">
        <v>40606</v>
      </c>
      <c r="P9" s="165">
        <f t="shared" si="7"/>
        <v>99.9611</v>
      </c>
      <c r="Q9" s="165">
        <f t="shared" si="8"/>
        <v>101.82196677288711</v>
      </c>
      <c r="R9" s="165">
        <f t="shared" si="9"/>
        <v>101.54410603001844</v>
      </c>
      <c r="S9" s="165">
        <f t="shared" si="10"/>
        <v>101.04598730486856</v>
      </c>
      <c r="T9" s="165">
        <f t="shared" si="11"/>
        <v>101.37344743850046</v>
      </c>
    </row>
    <row r="10" spans="1:20" ht="15">
      <c r="A10" s="15">
        <v>40613</v>
      </c>
      <c r="B10" s="12">
        <v>19912.22</v>
      </c>
      <c r="C10" s="8">
        <f t="shared" si="0"/>
        <v>-0.004001556605519596</v>
      </c>
      <c r="D10" s="9">
        <f t="shared" si="3"/>
        <v>-0.012148280161402125</v>
      </c>
      <c r="E10" s="9">
        <f t="shared" si="4"/>
        <v>-0.01230192619535786</v>
      </c>
      <c r="F10" s="9">
        <f t="shared" si="5"/>
        <v>-0.01273862472202092</v>
      </c>
      <c r="G10" s="9">
        <f t="shared" si="6"/>
        <v>-0.012544165367725846</v>
      </c>
      <c r="H10" s="1" t="s">
        <v>20</v>
      </c>
      <c r="J10" s="1">
        <v>2749.3</v>
      </c>
      <c r="K10" s="1">
        <v>2856.65</v>
      </c>
      <c r="L10" s="1">
        <v>12643.58</v>
      </c>
      <c r="M10" s="1">
        <v>47689.93</v>
      </c>
      <c r="O10" s="166">
        <v>40613</v>
      </c>
      <c r="P10" s="165">
        <f t="shared" si="7"/>
        <v>99.5611</v>
      </c>
      <c r="Q10" s="165">
        <f t="shared" si="8"/>
        <v>100.58500499394509</v>
      </c>
      <c r="R10" s="165">
        <f t="shared" si="9"/>
        <v>100.29491793206356</v>
      </c>
      <c r="S10" s="165">
        <f t="shared" si="10"/>
        <v>99.75880039292575</v>
      </c>
      <c r="T10" s="165">
        <f t="shared" si="11"/>
        <v>100.10180214993545</v>
      </c>
    </row>
    <row r="11" spans="1:20" ht="15">
      <c r="A11" s="15">
        <v>40620</v>
      </c>
      <c r="B11" s="12">
        <v>19990.699999999997</v>
      </c>
      <c r="C11" s="8">
        <f aca="true" t="shared" si="12" ref="C11:C18">B11/B10-1</f>
        <v>0.0039412983584952155</v>
      </c>
      <c r="D11" s="9">
        <f t="shared" si="3"/>
        <v>0.011053722765794971</v>
      </c>
      <c r="E11" s="9">
        <f t="shared" si="4"/>
        <v>-0.003966184166768749</v>
      </c>
      <c r="F11" s="9">
        <f t="shared" si="5"/>
        <v>-0.006421440762821917</v>
      </c>
      <c r="G11" s="9">
        <f t="shared" si="6"/>
        <v>0.006730561357502607</v>
      </c>
      <c r="J11" s="1">
        <v>2779.69</v>
      </c>
      <c r="K11" s="1">
        <v>2845.32</v>
      </c>
      <c r="L11" s="1">
        <v>12562.39</v>
      </c>
      <c r="M11" s="1">
        <v>48010.91</v>
      </c>
      <c r="O11" s="166">
        <v>40620</v>
      </c>
      <c r="P11" s="165">
        <f t="shared" si="7"/>
        <v>99.95349999999998</v>
      </c>
      <c r="Q11" s="165">
        <f t="shared" si="8"/>
        <v>101.69684375354426</v>
      </c>
      <c r="R11" s="165">
        <f t="shared" si="9"/>
        <v>99.89712981655403</v>
      </c>
      <c r="S11" s="165">
        <f t="shared" si="10"/>
        <v>99.1182051656324</v>
      </c>
      <c r="T11" s="165">
        <f t="shared" si="11"/>
        <v>100.77554347130219</v>
      </c>
    </row>
    <row r="12" spans="1:20" ht="15">
      <c r="A12" s="15">
        <v>40627</v>
      </c>
      <c r="B12" s="12">
        <v>20136.73</v>
      </c>
      <c r="C12" s="8">
        <f t="shared" si="12"/>
        <v>0.007304896777001524</v>
      </c>
      <c r="D12" s="9">
        <f t="shared" si="3"/>
        <v>0.01230353024977604</v>
      </c>
      <c r="E12" s="9">
        <f t="shared" si="4"/>
        <v>0.01623367494693051</v>
      </c>
      <c r="F12" s="9">
        <f t="shared" si="5"/>
        <v>0.012253241620424182</v>
      </c>
      <c r="G12" s="9">
        <f t="shared" si="6"/>
        <v>0.01281667021099997</v>
      </c>
      <c r="J12" s="51">
        <v>2813.89</v>
      </c>
      <c r="K12" s="1">
        <v>2891.51</v>
      </c>
      <c r="L12" s="1">
        <v>12716.32</v>
      </c>
      <c r="M12" s="1">
        <v>48626.25</v>
      </c>
      <c r="O12" s="166">
        <v>40627</v>
      </c>
      <c r="P12" s="165">
        <f t="shared" si="7"/>
        <v>100.68365</v>
      </c>
      <c r="Q12" s="165">
        <f t="shared" si="8"/>
        <v>102.94807394697274</v>
      </c>
      <c r="R12" s="165">
        <f t="shared" si="9"/>
        <v>101.51882735012728</v>
      </c>
      <c r="S12" s="165">
        <f t="shared" si="10"/>
        <v>100.33272448250968</v>
      </c>
      <c r="T12" s="165">
        <f t="shared" si="11"/>
        <v>102.06715037730815</v>
      </c>
    </row>
    <row r="13" spans="1:20" ht="15">
      <c r="A13" s="15">
        <v>40634</v>
      </c>
      <c r="B13" s="12">
        <v>20181.879999999997</v>
      </c>
      <c r="C13" s="8">
        <f t="shared" si="12"/>
        <v>0.002242171395256287</v>
      </c>
      <c r="D13" s="9">
        <f t="shared" si="3"/>
        <v>0.022513317862460802</v>
      </c>
      <c r="E13" s="9">
        <f t="shared" si="4"/>
        <v>0.010748709151965574</v>
      </c>
      <c r="F13" s="9">
        <f t="shared" si="5"/>
        <v>0.005677743246473854</v>
      </c>
      <c r="G13" s="9">
        <f t="shared" si="6"/>
        <v>0.018037376931184124</v>
      </c>
      <c r="J13" s="1">
        <v>2877.24</v>
      </c>
      <c r="K13" s="1">
        <v>2922.59</v>
      </c>
      <c r="L13" s="1">
        <v>12788.52</v>
      </c>
      <c r="M13" s="1">
        <v>49503.34</v>
      </c>
      <c r="O13" s="166">
        <v>40634</v>
      </c>
      <c r="P13" s="165">
        <f t="shared" si="7"/>
        <v>100.90939999999999</v>
      </c>
      <c r="Q13" s="165">
        <f t="shared" si="8"/>
        <v>105.26577665906906</v>
      </c>
      <c r="R13" s="165">
        <f t="shared" si="9"/>
        <v>102.6100236987624</v>
      </c>
      <c r="S13" s="165">
        <f t="shared" si="10"/>
        <v>100.90238793134057</v>
      </c>
      <c r="T13" s="165">
        <f t="shared" si="11"/>
        <v>103.90817404095552</v>
      </c>
    </row>
    <row r="14" spans="1:20" ht="15">
      <c r="A14" s="15">
        <v>40641</v>
      </c>
      <c r="B14" s="12">
        <v>20294.15</v>
      </c>
      <c r="C14" s="8">
        <f t="shared" si="12"/>
        <v>0.005562910888381234</v>
      </c>
      <c r="D14" s="9">
        <f t="shared" si="3"/>
        <v>0.00913722873309153</v>
      </c>
      <c r="E14" s="9">
        <f t="shared" si="4"/>
        <v>0.015417831444027419</v>
      </c>
      <c r="F14" s="9">
        <f t="shared" si="5"/>
        <v>0.004389092717530962</v>
      </c>
      <c r="G14" s="9">
        <f t="shared" si="6"/>
        <v>0.009753079287175392</v>
      </c>
      <c r="J14" s="1">
        <v>2903.53</v>
      </c>
      <c r="K14" s="1">
        <v>2967.65</v>
      </c>
      <c r="L14" s="1">
        <v>12844.65</v>
      </c>
      <c r="M14" s="1">
        <v>49986.15</v>
      </c>
      <c r="O14" s="166">
        <v>40641</v>
      </c>
      <c r="P14" s="165">
        <f t="shared" si="7"/>
        <v>101.47075000000001</v>
      </c>
      <c r="Q14" s="165">
        <f t="shared" si="8"/>
        <v>106.2276141381695</v>
      </c>
      <c r="R14" s="165">
        <f t="shared" si="9"/>
        <v>104.19204774861758</v>
      </c>
      <c r="S14" s="165">
        <f t="shared" si="10"/>
        <v>101.3452578673915</v>
      </c>
      <c r="T14" s="165">
        <f t="shared" si="11"/>
        <v>104.92159870096258</v>
      </c>
    </row>
    <row r="15" spans="1:20" ht="15">
      <c r="A15" s="15">
        <v>40648</v>
      </c>
      <c r="B15" s="16">
        <v>20395.92</v>
      </c>
      <c r="C15" s="8">
        <f t="shared" si="12"/>
        <v>0.005014745628666217</v>
      </c>
      <c r="D15" s="9">
        <f t="shared" si="3"/>
        <v>0.00471150633883588</v>
      </c>
      <c r="E15" s="9">
        <f t="shared" si="4"/>
        <v>-0.004592859670109362</v>
      </c>
      <c r="F15" s="9">
        <f t="shared" si="5"/>
        <v>-0.008292946868929896</v>
      </c>
      <c r="G15" s="9">
        <f t="shared" si="6"/>
        <v>0.0006033671326957091</v>
      </c>
      <c r="J15" s="1">
        <v>2917.21</v>
      </c>
      <c r="K15" s="1">
        <v>2954.02</v>
      </c>
      <c r="L15" s="1">
        <v>12738.13</v>
      </c>
      <c r="M15" s="1">
        <v>50016.31</v>
      </c>
      <c r="O15" s="166">
        <v>40648</v>
      </c>
      <c r="P15" s="165">
        <f t="shared" si="7"/>
        <v>101.97959999999999</v>
      </c>
      <c r="Q15" s="165">
        <f t="shared" si="8"/>
        <v>106.72810621554089</v>
      </c>
      <c r="R15" s="165">
        <f t="shared" si="9"/>
        <v>103.71350829456685</v>
      </c>
      <c r="S15" s="165">
        <f t="shared" si="10"/>
        <v>100.50480702847922</v>
      </c>
      <c r="T15" s="165">
        <f t="shared" si="11"/>
        <v>104.98490494512862</v>
      </c>
    </row>
    <row r="16" spans="1:20" ht="15">
      <c r="A16" s="15">
        <v>40655</v>
      </c>
      <c r="B16" s="16">
        <v>20428.42</v>
      </c>
      <c r="C16" s="8">
        <f t="shared" si="12"/>
        <v>0.0015934559460912823</v>
      </c>
      <c r="D16" s="9">
        <f aca="true" t="shared" si="13" ref="D16:G17">J16/J15-1</f>
        <v>-0.003150270292505475</v>
      </c>
      <c r="E16" s="9">
        <f t="shared" si="13"/>
        <v>0.0003215956560889133</v>
      </c>
      <c r="F16" s="9">
        <f t="shared" si="13"/>
        <v>0.004920659468854449</v>
      </c>
      <c r="G16" s="9">
        <f t="shared" si="13"/>
        <v>-0.0009996739063717897</v>
      </c>
      <c r="J16" s="1">
        <v>2908.02</v>
      </c>
      <c r="K16" s="1">
        <v>2954.97</v>
      </c>
      <c r="L16" s="1">
        <v>12800.81</v>
      </c>
      <c r="M16" s="1">
        <v>49966.31</v>
      </c>
      <c r="O16" s="166">
        <v>40655</v>
      </c>
      <c r="P16" s="165">
        <f aca="true" t="shared" si="14" ref="P16:T17">P15*(1+C16)</f>
        <v>102.1421</v>
      </c>
      <c r="Q16" s="165">
        <f t="shared" si="14"/>
        <v>106.39188383315471</v>
      </c>
      <c r="R16" s="165">
        <f t="shared" si="14"/>
        <v>103.74686210831213</v>
      </c>
      <c r="S16" s="165">
        <f t="shared" si="14"/>
        <v>100.99935695884929</v>
      </c>
      <c r="T16" s="165">
        <f t="shared" si="14"/>
        <v>104.87995427509205</v>
      </c>
    </row>
    <row r="17" spans="1:20" ht="15">
      <c r="A17" s="15">
        <v>40662</v>
      </c>
      <c r="B17" s="16">
        <v>20555.4</v>
      </c>
      <c r="C17" s="8">
        <f t="shared" si="12"/>
        <v>0.006215850271337864</v>
      </c>
      <c r="D17" s="9">
        <f t="shared" si="13"/>
        <v>0.0017572093727002969</v>
      </c>
      <c r="E17" s="9">
        <f t="shared" si="13"/>
        <v>-0.005059273021384203</v>
      </c>
      <c r="F17" s="9">
        <f t="shared" si="13"/>
        <v>0.0072089188106065905</v>
      </c>
      <c r="G17" s="9">
        <f t="shared" si="13"/>
        <v>0.0008539754086305251</v>
      </c>
      <c r="J17" s="1">
        <v>2913.13</v>
      </c>
      <c r="K17" s="1">
        <v>2940.02</v>
      </c>
      <c r="L17" s="1">
        <v>12893.09</v>
      </c>
      <c r="M17" s="1">
        <v>50008.98</v>
      </c>
      <c r="O17" s="166">
        <v>40662</v>
      </c>
      <c r="P17" s="165">
        <f t="shared" si="14"/>
        <v>102.77700000000002</v>
      </c>
      <c r="Q17" s="165">
        <f t="shared" si="14"/>
        <v>106.57883664860557</v>
      </c>
      <c r="R17" s="165">
        <f t="shared" si="14"/>
        <v>103.22197840779428</v>
      </c>
      <c r="S17" s="165">
        <f t="shared" si="14"/>
        <v>101.7274531230891</v>
      </c>
      <c r="T17" s="165">
        <f t="shared" si="14"/>
        <v>104.96951917690127</v>
      </c>
    </row>
    <row r="18" spans="1:20" ht="15">
      <c r="A18" s="15">
        <v>40669</v>
      </c>
      <c r="B18" s="16">
        <v>20377.629999999997</v>
      </c>
      <c r="C18" s="8">
        <f t="shared" si="12"/>
        <v>-0.008648335717135303</v>
      </c>
      <c r="D18" s="9">
        <f aca="true" t="shared" si="15" ref="D18:G20">J18/J17-1</f>
        <v>-0.015769979369269493</v>
      </c>
      <c r="E18" s="9">
        <f t="shared" si="15"/>
        <v>-0.00536731042645977</v>
      </c>
      <c r="F18" s="9">
        <f t="shared" si="15"/>
        <v>-0.008325389801824068</v>
      </c>
      <c r="G18" s="9">
        <f t="shared" si="15"/>
        <v>-0.013746531123010386</v>
      </c>
      <c r="J18" s="1">
        <v>2867.19</v>
      </c>
      <c r="K18" s="1">
        <v>2924.24</v>
      </c>
      <c r="L18" s="1">
        <v>12785.75</v>
      </c>
      <c r="M18" s="1">
        <v>49321.53</v>
      </c>
      <c r="O18" s="166">
        <v>40669</v>
      </c>
      <c r="P18" s="165">
        <f aca="true" t="shared" si="16" ref="P18:T20">P17*(1+C18)</f>
        <v>101.88815</v>
      </c>
      <c r="Q18" s="165">
        <f t="shared" si="16"/>
        <v>104.89809059345632</v>
      </c>
      <c r="R18" s="165">
        <f t="shared" si="16"/>
        <v>102.66795400684632</v>
      </c>
      <c r="S18" s="165">
        <f t="shared" si="16"/>
        <v>100.8805324222926</v>
      </c>
      <c r="T18" s="165">
        <f t="shared" si="16"/>
        <v>103.52655241456857</v>
      </c>
    </row>
    <row r="19" spans="1:20" ht="15">
      <c r="A19" s="15">
        <v>40676</v>
      </c>
      <c r="B19" s="16">
        <v>20281.33</v>
      </c>
      <c r="C19" s="8">
        <f aca="true" t="shared" si="17" ref="C19:C31">B19/B18-1</f>
        <v>-0.004725770366818649</v>
      </c>
      <c r="D19" s="9">
        <f t="shared" si="15"/>
        <v>-0.015562275259051517</v>
      </c>
      <c r="E19" s="9">
        <f t="shared" si="15"/>
        <v>-0.012092030749869975</v>
      </c>
      <c r="F19" s="9">
        <f t="shared" si="15"/>
        <v>-0.018354026944058854</v>
      </c>
      <c r="G19" s="9">
        <f t="shared" si="15"/>
        <v>-0.013055556062433582</v>
      </c>
      <c r="J19" s="1">
        <v>2822.57</v>
      </c>
      <c r="K19" s="1">
        <v>2888.88</v>
      </c>
      <c r="L19" s="1">
        <v>12551.08</v>
      </c>
      <c r="M19" s="1">
        <v>48677.61</v>
      </c>
      <c r="O19" s="166">
        <v>40676</v>
      </c>
      <c r="P19" s="165">
        <f t="shared" si="16"/>
        <v>101.40665000000003</v>
      </c>
      <c r="Q19" s="165">
        <f t="shared" si="16"/>
        <v>103.26563763349203</v>
      </c>
      <c r="R19" s="165">
        <f t="shared" si="16"/>
        <v>101.4264899499693</v>
      </c>
      <c r="S19" s="165">
        <f t="shared" si="16"/>
        <v>99.02896841208285</v>
      </c>
      <c r="T19" s="165">
        <f t="shared" si="16"/>
        <v>102.1749557055697</v>
      </c>
    </row>
    <row r="20" spans="1:20" ht="15">
      <c r="A20" s="15">
        <v>40683</v>
      </c>
      <c r="B20" s="16">
        <v>20248.36</v>
      </c>
      <c r="C20" s="8">
        <f t="shared" si="17"/>
        <v>-0.0016256330329421642</v>
      </c>
      <c r="D20" s="9">
        <f t="shared" si="15"/>
        <v>0.0024304091661144778</v>
      </c>
      <c r="E20" s="9">
        <f t="shared" si="15"/>
        <v>0.005472709146797428</v>
      </c>
      <c r="F20" s="9">
        <f t="shared" si="15"/>
        <v>-0.009197614866609083</v>
      </c>
      <c r="G20" s="9">
        <f t="shared" si="15"/>
        <v>0.003723066929538943</v>
      </c>
      <c r="J20" s="1">
        <v>2829.43</v>
      </c>
      <c r="K20" s="1">
        <v>2904.69</v>
      </c>
      <c r="L20" s="1">
        <v>12435.64</v>
      </c>
      <c r="M20" s="1">
        <v>48858.84</v>
      </c>
      <c r="O20" s="166">
        <v>40683</v>
      </c>
      <c r="P20" s="165">
        <f t="shared" si="16"/>
        <v>101.24180000000003</v>
      </c>
      <c r="Q20" s="165">
        <f t="shared" si="16"/>
        <v>103.51661538574113</v>
      </c>
      <c r="R20" s="165">
        <f t="shared" si="16"/>
        <v>101.98156762924604</v>
      </c>
      <c r="S20" s="165">
        <f t="shared" si="16"/>
        <v>98.11813809999092</v>
      </c>
      <c r="T20" s="165">
        <f t="shared" si="16"/>
        <v>102.55535990418421</v>
      </c>
    </row>
    <row r="21" spans="1:20" ht="15">
      <c r="A21" s="15">
        <v>40690</v>
      </c>
      <c r="B21" s="16">
        <v>20301.440000000002</v>
      </c>
      <c r="C21" s="8">
        <f t="shared" si="17"/>
        <v>0.0026214468727345785</v>
      </c>
      <c r="D21" s="9">
        <f aca="true" t="shared" si="18" ref="D21:G23">J21/J20-1</f>
        <v>0.013147524413044342</v>
      </c>
      <c r="E21" s="9">
        <f t="shared" si="18"/>
        <v>0.011267983846813268</v>
      </c>
      <c r="F21" s="9">
        <f t="shared" si="18"/>
        <v>0.006022207140123248</v>
      </c>
      <c r="G21" s="9">
        <f t="shared" si="18"/>
        <v>0.011601380630403835</v>
      </c>
      <c r="J21" s="1">
        <v>2866.63</v>
      </c>
      <c r="K21" s="1">
        <v>2937.42</v>
      </c>
      <c r="L21" s="1">
        <v>12510.53</v>
      </c>
      <c r="M21" s="1">
        <v>49425.67</v>
      </c>
      <c r="O21" s="166">
        <v>40690</v>
      </c>
      <c r="P21" s="165">
        <f aca="true" t="shared" si="19" ref="P21:T23">P20*(1+C21)</f>
        <v>101.50720000000004</v>
      </c>
      <c r="Q21" s="165">
        <f t="shared" si="19"/>
        <v>104.87760261368089</v>
      </c>
      <c r="R21" s="165">
        <f t="shared" si="19"/>
        <v>103.13069428596508</v>
      </c>
      <c r="S21" s="165">
        <f t="shared" si="19"/>
        <v>98.70902585183228</v>
      </c>
      <c r="T21" s="165">
        <f t="shared" si="19"/>
        <v>103.74514367012071</v>
      </c>
    </row>
    <row r="22" spans="1:20" ht="15">
      <c r="A22" s="15">
        <v>40697</v>
      </c>
      <c r="B22" s="16">
        <v>20354.98</v>
      </c>
      <c r="C22" s="8">
        <f t="shared" si="17"/>
        <v>0.0026372513476875525</v>
      </c>
      <c r="D22" s="9">
        <f t="shared" si="18"/>
        <v>0.005996588328455399</v>
      </c>
      <c r="E22" s="9">
        <f t="shared" si="18"/>
        <v>-0.0023115523146162165</v>
      </c>
      <c r="F22" s="9">
        <f t="shared" si="18"/>
        <v>0.010316109709180843</v>
      </c>
      <c r="G22" s="9">
        <f t="shared" si="18"/>
        <v>0.004313750324477228</v>
      </c>
      <c r="J22" s="1">
        <v>2883.82</v>
      </c>
      <c r="K22" s="1">
        <v>2930.63</v>
      </c>
      <c r="L22" s="1">
        <v>12639.59</v>
      </c>
      <c r="M22" s="1">
        <v>49638.88</v>
      </c>
      <c r="O22" s="166">
        <v>40697</v>
      </c>
      <c r="P22" s="165">
        <f t="shared" si="19"/>
        <v>101.77490000000003</v>
      </c>
      <c r="Q22" s="165">
        <f t="shared" si="19"/>
        <v>105.50651042143048</v>
      </c>
      <c r="R22" s="165">
        <f t="shared" si="19"/>
        <v>102.89230229088038</v>
      </c>
      <c r="S22" s="165">
        <f t="shared" si="19"/>
        <v>99.72731899180614</v>
      </c>
      <c r="T22" s="165">
        <f t="shared" si="19"/>
        <v>104.19267431729062</v>
      </c>
    </row>
    <row r="23" spans="1:20" ht="15">
      <c r="A23" s="15">
        <v>40704</v>
      </c>
      <c r="B23" s="16">
        <v>20137.88</v>
      </c>
      <c r="C23" s="8">
        <f t="shared" si="17"/>
        <v>-0.010665694586779129</v>
      </c>
      <c r="D23" s="9">
        <f t="shared" si="18"/>
        <v>-0.010978493803358136</v>
      </c>
      <c r="E23" s="9">
        <f t="shared" si="18"/>
        <v>-0.011683494675206463</v>
      </c>
      <c r="F23" s="9">
        <f t="shared" si="18"/>
        <v>-0.017722884998643162</v>
      </c>
      <c r="G23" s="9">
        <f t="shared" si="18"/>
        <v>-0.011307064140045009</v>
      </c>
      <c r="J23" s="1">
        <v>2852.16</v>
      </c>
      <c r="K23" s="1">
        <v>2896.39</v>
      </c>
      <c r="L23" s="1">
        <v>12415.58</v>
      </c>
      <c r="M23" s="1">
        <v>49077.61</v>
      </c>
      <c r="O23" s="166">
        <v>40704</v>
      </c>
      <c r="P23" s="165">
        <f t="shared" si="19"/>
        <v>100.68940000000005</v>
      </c>
      <c r="Q23" s="165">
        <f t="shared" si="19"/>
        <v>104.34820785055486</v>
      </c>
      <c r="R23" s="165">
        <f t="shared" si="19"/>
        <v>101.69016062494515</v>
      </c>
      <c r="S23" s="165">
        <f t="shared" si="19"/>
        <v>97.95986318609135</v>
      </c>
      <c r="T23" s="165">
        <f t="shared" si="19"/>
        <v>103.0145610658622</v>
      </c>
    </row>
    <row r="24" spans="1:20" ht="15">
      <c r="A24" s="15">
        <v>40711</v>
      </c>
      <c r="B24" s="16">
        <v>20241.809999999998</v>
      </c>
      <c r="C24" s="8">
        <f t="shared" si="17"/>
        <v>0.005160920613291875</v>
      </c>
      <c r="D24" s="9">
        <f aca="true" t="shared" si="20" ref="D24:G25">J24/J23-1</f>
        <v>0.009806602715135337</v>
      </c>
      <c r="E24" s="9">
        <f t="shared" si="20"/>
        <v>0.00024858530791793676</v>
      </c>
      <c r="F24" s="9">
        <f t="shared" si="20"/>
        <v>-0.01849853168357818</v>
      </c>
      <c r="G24" s="9">
        <f t="shared" si="20"/>
        <v>0.005619466799626105</v>
      </c>
      <c r="J24" s="1">
        <v>2880.13</v>
      </c>
      <c r="K24" s="1">
        <v>2897.11</v>
      </c>
      <c r="L24" s="1">
        <v>12185.91</v>
      </c>
      <c r="M24" s="1">
        <v>49353.4</v>
      </c>
      <c r="O24" s="166">
        <v>40711</v>
      </c>
      <c r="P24" s="165">
        <f aca="true" t="shared" si="21" ref="P24:T25">P23*(1+C24)</f>
        <v>101.20905000000003</v>
      </c>
      <c r="Q24" s="165">
        <f t="shared" si="21"/>
        <v>105.37150926898161</v>
      </c>
      <c r="R24" s="165">
        <f t="shared" si="21"/>
        <v>101.71543930483632</v>
      </c>
      <c r="S24" s="165">
        <f t="shared" si="21"/>
        <v>96.14774955322446</v>
      </c>
      <c r="T24" s="165">
        <f t="shared" si="21"/>
        <v>103.59344797164987</v>
      </c>
    </row>
    <row r="25" spans="1:20" ht="15">
      <c r="A25" s="15">
        <v>40718</v>
      </c>
      <c r="B25" s="16">
        <v>20126.95</v>
      </c>
      <c r="C25" s="8">
        <f t="shared" si="17"/>
        <v>-0.005674393742456707</v>
      </c>
      <c r="D25" s="9">
        <f t="shared" si="20"/>
        <v>-0.02726960241377996</v>
      </c>
      <c r="E25" s="9">
        <f t="shared" si="20"/>
        <v>-0.007921687474759409</v>
      </c>
      <c r="F25" s="9">
        <f t="shared" si="20"/>
        <v>-0.013892273945893208</v>
      </c>
      <c r="G25" s="9">
        <f t="shared" si="20"/>
        <v>-0.01943898495341767</v>
      </c>
      <c r="J25" s="1">
        <v>2801.59</v>
      </c>
      <c r="K25" s="1">
        <v>2874.16</v>
      </c>
      <c r="L25" s="1">
        <v>12016.62</v>
      </c>
      <c r="M25" s="1">
        <v>48394.02</v>
      </c>
      <c r="O25" s="166">
        <v>40718</v>
      </c>
      <c r="P25" s="165">
        <f t="shared" si="21"/>
        <v>100.63475000000004</v>
      </c>
      <c r="Q25" s="165">
        <f t="shared" si="21"/>
        <v>102.49807010547656</v>
      </c>
      <c r="R25" s="165">
        <f t="shared" si="21"/>
        <v>100.90968138330555</v>
      </c>
      <c r="S25" s="165">
        <f t="shared" si="21"/>
        <v>94.81203867714993</v>
      </c>
      <c r="T25" s="165">
        <f t="shared" si="21"/>
        <v>101.57969649525631</v>
      </c>
    </row>
    <row r="26" spans="1:20" ht="15">
      <c r="A26" s="15">
        <v>40725</v>
      </c>
      <c r="B26" s="16">
        <v>20108.53</v>
      </c>
      <c r="C26" s="8">
        <f t="shared" si="17"/>
        <v>-0.0009151908262305941</v>
      </c>
      <c r="D26" s="9">
        <f aca="true" t="shared" si="22" ref="D26:D31">J26/J25-1</f>
        <v>0.004197616353570632</v>
      </c>
      <c r="E26" s="9">
        <f aca="true" t="shared" si="23" ref="E26:E31">K26/K25-1</f>
        <v>-0.007957107467920999</v>
      </c>
      <c r="F26" s="9">
        <f aca="true" t="shared" si="24" ref="F26:F31">L26/L25-1</f>
        <v>0.00559807999254347</v>
      </c>
      <c r="G26" s="9">
        <f aca="true" t="shared" si="25" ref="G26:G31">M26/M25-1</f>
        <v>0.0032477153168926076</v>
      </c>
      <c r="J26" s="1">
        <v>2813.35</v>
      </c>
      <c r="K26" s="1">
        <v>2851.29</v>
      </c>
      <c r="L26" s="1">
        <v>12083.89</v>
      </c>
      <c r="M26" s="1">
        <v>48551.19</v>
      </c>
      <c r="O26" s="166">
        <v>40725</v>
      </c>
      <c r="P26" s="165">
        <f aca="true" t="shared" si="26" ref="P26:P31">P25*(1+C26)</f>
        <v>100.54265000000002</v>
      </c>
      <c r="Q26" s="165">
        <f aca="true" t="shared" si="27" ref="Q26:Q31">Q25*(1+D26)</f>
        <v>102.92831768076074</v>
      </c>
      <c r="R26" s="165">
        <f aca="true" t="shared" si="28" ref="R26:R31">R25*(1+E26)</f>
        <v>100.10673220398492</v>
      </c>
      <c r="S26" s="165">
        <f aca="true" t="shared" si="29" ref="S26:S31">S25*(1+F26)</f>
        <v>95.34280405392074</v>
      </c>
      <c r="T26" s="165">
        <f aca="true" t="shared" si="30" ref="T26:T31">T25*(1+G26)</f>
        <v>101.90959843144925</v>
      </c>
    </row>
    <row r="27" spans="1:20" ht="15">
      <c r="A27" s="15">
        <v>40732</v>
      </c>
      <c r="B27" s="16">
        <v>20135.84</v>
      </c>
      <c r="C27" s="8">
        <f t="shared" si="17"/>
        <v>0.0013581301069744978</v>
      </c>
      <c r="D27" s="9">
        <f t="shared" si="22"/>
        <v>-0.025247480761369845</v>
      </c>
      <c r="E27" s="9">
        <f t="shared" si="23"/>
        <v>-0.018044464084677414</v>
      </c>
      <c r="F27" s="9">
        <f t="shared" si="24"/>
        <v>-0.03483480898948921</v>
      </c>
      <c r="G27" s="9">
        <f t="shared" si="25"/>
        <v>-0.016123394709789962</v>
      </c>
      <c r="H27"/>
      <c r="I27"/>
      <c r="J27" s="1">
        <v>2742.32</v>
      </c>
      <c r="K27" s="1">
        <v>2799.84</v>
      </c>
      <c r="L27" s="1">
        <v>11662.95</v>
      </c>
      <c r="M27" s="1">
        <v>47768.38</v>
      </c>
      <c r="N27"/>
      <c r="O27" s="166">
        <v>40732</v>
      </c>
      <c r="P27" s="165">
        <f t="shared" si="26"/>
        <v>100.67920000000002</v>
      </c>
      <c r="Q27" s="165">
        <f t="shared" si="27"/>
        <v>100.32963696031557</v>
      </c>
      <c r="R27" s="165">
        <f t="shared" si="28"/>
        <v>98.30035987009569</v>
      </c>
      <c r="S27" s="165">
        <f t="shared" si="29"/>
        <v>92.02155568618012</v>
      </c>
      <c r="T27" s="165">
        <f t="shared" si="30"/>
        <v>100.2664697512228</v>
      </c>
    </row>
    <row r="28" spans="1:20" ht="15">
      <c r="A28" s="15">
        <v>40739</v>
      </c>
      <c r="B28" s="16">
        <v>20107.86</v>
      </c>
      <c r="C28" s="8">
        <f t="shared" si="17"/>
        <v>-0.0013895620942557807</v>
      </c>
      <c r="D28" s="9">
        <f t="shared" si="22"/>
        <v>0.0019253770530061054</v>
      </c>
      <c r="E28" s="9">
        <f t="shared" si="23"/>
        <v>-0.004225241442368133</v>
      </c>
      <c r="F28" s="9">
        <f t="shared" si="24"/>
        <v>-0.002806322585623855</v>
      </c>
      <c r="G28" s="9">
        <f t="shared" si="25"/>
        <v>0.00036572309967386474</v>
      </c>
      <c r="H28"/>
      <c r="I28"/>
      <c r="J28" s="1">
        <v>2747.6</v>
      </c>
      <c r="K28" s="1">
        <v>2788.01</v>
      </c>
      <c r="L28" s="1">
        <v>11630.22</v>
      </c>
      <c r="M28" s="1">
        <v>47785.85</v>
      </c>
      <c r="N28"/>
      <c r="O28" s="166">
        <v>40739</v>
      </c>
      <c r="P28" s="165">
        <f t="shared" si="26"/>
        <v>100.53930000000003</v>
      </c>
      <c r="Q28" s="165">
        <f t="shared" si="27"/>
        <v>100.52280934105539</v>
      </c>
      <c r="R28" s="165">
        <f t="shared" si="28"/>
        <v>97.88501711577285</v>
      </c>
      <c r="S28" s="165">
        <f t="shared" si="29"/>
        <v>91.76331351609375</v>
      </c>
      <c r="T28" s="165">
        <f t="shared" si="30"/>
        <v>100.30313951533357</v>
      </c>
    </row>
    <row r="29" spans="1:20" ht="15">
      <c r="A29" s="15">
        <v>40746</v>
      </c>
      <c r="B29" s="16">
        <v>20087.16</v>
      </c>
      <c r="C29" s="8">
        <f t="shared" si="17"/>
        <v>-0.0010294481859333127</v>
      </c>
      <c r="D29" s="9">
        <f t="shared" si="22"/>
        <v>-0.0015067695443296003</v>
      </c>
      <c r="E29" s="9">
        <f t="shared" si="23"/>
        <v>-0.010487767260519254</v>
      </c>
      <c r="F29" s="9">
        <f t="shared" si="24"/>
        <v>-0.025463834733994717</v>
      </c>
      <c r="G29" s="9">
        <f t="shared" si="25"/>
        <v>-0.005944646793977659</v>
      </c>
      <c r="H29"/>
      <c r="I29"/>
      <c r="J29" s="1">
        <v>2743.46</v>
      </c>
      <c r="K29" s="1">
        <v>2758.77</v>
      </c>
      <c r="L29" s="1">
        <v>11334.07</v>
      </c>
      <c r="M29" s="1">
        <v>47501.78</v>
      </c>
      <c r="N29"/>
      <c r="O29" s="166">
        <v>40746</v>
      </c>
      <c r="P29" s="165">
        <f t="shared" si="26"/>
        <v>100.43580000000001</v>
      </c>
      <c r="Q29" s="165">
        <f t="shared" si="27"/>
        <v>100.37134463342984</v>
      </c>
      <c r="R29" s="165">
        <f t="shared" si="28"/>
        <v>96.85842183797068</v>
      </c>
      <c r="S29" s="165">
        <f t="shared" si="29"/>
        <v>89.42666766607618</v>
      </c>
      <c r="T29" s="165">
        <f t="shared" si="30"/>
        <v>99.70687277858785</v>
      </c>
    </row>
    <row r="30" spans="1:20" ht="15">
      <c r="A30" s="15">
        <v>40753</v>
      </c>
      <c r="B30" s="16">
        <v>20095.25</v>
      </c>
      <c r="C30" s="8">
        <f t="shared" si="17"/>
        <v>0.00040274483799596084</v>
      </c>
      <c r="D30" s="9">
        <f t="shared" si="22"/>
        <v>-0.006251230198362712</v>
      </c>
      <c r="E30" s="9">
        <f t="shared" si="23"/>
        <v>-0.00801444121836914</v>
      </c>
      <c r="F30" s="9">
        <f t="shared" si="24"/>
        <v>-0.0180182405790682</v>
      </c>
      <c r="G30" s="9">
        <f t="shared" si="25"/>
        <v>-0.007350250874809339</v>
      </c>
      <c r="H30"/>
      <c r="I30"/>
      <c r="J30" s="1">
        <v>2726.31</v>
      </c>
      <c r="K30" s="1">
        <v>2736.66</v>
      </c>
      <c r="L30" s="1">
        <v>11129.85</v>
      </c>
      <c r="M30" s="1">
        <v>47152.63</v>
      </c>
      <c r="N30"/>
      <c r="O30" s="166">
        <v>40753</v>
      </c>
      <c r="P30" s="165">
        <f t="shared" si="26"/>
        <v>100.47625000000001</v>
      </c>
      <c r="Q30" s="165">
        <f t="shared" si="27"/>
        <v>99.74390025280708</v>
      </c>
      <c r="R30" s="165">
        <f t="shared" si="28"/>
        <v>96.08215570964626</v>
      </c>
      <c r="S30" s="165">
        <f t="shared" si="29"/>
        <v>87.81535645388445</v>
      </c>
      <c r="T30" s="165">
        <f t="shared" si="30"/>
        <v>98.97400224972253</v>
      </c>
    </row>
    <row r="31" spans="1:20" ht="15">
      <c r="A31" s="15">
        <v>40760</v>
      </c>
      <c r="B31" s="16">
        <v>19876.530000000002</v>
      </c>
      <c r="C31" s="8">
        <f t="shared" si="17"/>
        <v>-0.01088416416814908</v>
      </c>
      <c r="D31" s="9">
        <f t="shared" si="22"/>
        <v>-0.10237280426657269</v>
      </c>
      <c r="E31" s="9">
        <f t="shared" si="23"/>
        <v>-0.1249771619419292</v>
      </c>
      <c r="F31" s="9">
        <f t="shared" si="24"/>
        <v>-0.1095540371164031</v>
      </c>
      <c r="G31" s="9">
        <f t="shared" si="25"/>
        <v>-0.10903527544486902</v>
      </c>
      <c r="H31"/>
      <c r="I31"/>
      <c r="J31" s="1">
        <v>2447.21</v>
      </c>
      <c r="K31" s="1">
        <v>2394.64</v>
      </c>
      <c r="L31" s="1">
        <v>9910.53</v>
      </c>
      <c r="M31" s="1">
        <v>42011.33</v>
      </c>
      <c r="N31"/>
      <c r="O31" s="166">
        <v>40760</v>
      </c>
      <c r="P31" s="165">
        <f t="shared" si="26"/>
        <v>99.38265000000001</v>
      </c>
      <c r="Q31" s="165">
        <f t="shared" si="27"/>
        <v>89.53283747544191</v>
      </c>
      <c r="R31" s="165">
        <f t="shared" si="28"/>
        <v>84.07408057579214</v>
      </c>
      <c r="S31" s="165">
        <f t="shared" si="29"/>
        <v>78.19482963354542</v>
      </c>
      <c r="T31" s="165">
        <f t="shared" si="30"/>
        <v>88.18234465254295</v>
      </c>
    </row>
    <row r="32" spans="1:20" ht="15">
      <c r="A32" s="15">
        <v>40767</v>
      </c>
      <c r="B32" s="16">
        <v>19876.530000000002</v>
      </c>
      <c r="C32" s="8">
        <f aca="true" t="shared" si="31" ref="C32:C39">B32/B31-1</f>
        <v>0</v>
      </c>
      <c r="D32" s="9">
        <f aca="true" t="shared" si="32" ref="D32:G33">J32/J31-1</f>
        <v>-0.04727015662734291</v>
      </c>
      <c r="E32" s="9">
        <f t="shared" si="32"/>
        <v>-0.05121020278622246</v>
      </c>
      <c r="F32" s="9">
        <f t="shared" si="32"/>
        <v>-0.06807708568562931</v>
      </c>
      <c r="G32" s="9">
        <f t="shared" si="32"/>
        <v>-0.04999556072135791</v>
      </c>
      <c r="H32"/>
      <c r="I32"/>
      <c r="J32" s="1">
        <v>2331.53</v>
      </c>
      <c r="K32" s="1">
        <v>2272.01</v>
      </c>
      <c r="L32" s="1">
        <v>9235.85</v>
      </c>
      <c r="M32" s="1">
        <v>39910.95</v>
      </c>
      <c r="N32"/>
      <c r="O32" s="166">
        <v>40767</v>
      </c>
      <c r="P32" s="165">
        <f aca="true" t="shared" si="33" ref="P32:T33">P31*(1+C32)</f>
        <v>99.38265000000001</v>
      </c>
      <c r="Q32" s="165">
        <f t="shared" si="33"/>
        <v>85.30060622468733</v>
      </c>
      <c r="R32" s="165">
        <f t="shared" si="33"/>
        <v>79.76862986044061</v>
      </c>
      <c r="S32" s="165">
        <f t="shared" si="33"/>
        <v>72.87155351640936</v>
      </c>
      <c r="T32" s="165">
        <f t="shared" si="33"/>
        <v>83.77361888591503</v>
      </c>
    </row>
    <row r="33" spans="1:20" ht="15">
      <c r="A33" s="15">
        <v>40774</v>
      </c>
      <c r="B33" s="16">
        <v>19876.530000000002</v>
      </c>
      <c r="C33" s="8">
        <f t="shared" si="31"/>
        <v>0</v>
      </c>
      <c r="D33" s="9">
        <f t="shared" si="32"/>
        <v>-0.033939087208828544</v>
      </c>
      <c r="E33" s="9">
        <f t="shared" si="32"/>
        <v>-0.022055360671828117</v>
      </c>
      <c r="F33" s="9">
        <f t="shared" si="32"/>
        <v>-0.011996730133122635</v>
      </c>
      <c r="G33" s="9">
        <f t="shared" si="32"/>
        <v>-0.029098280045952163</v>
      </c>
      <c r="H33"/>
      <c r="I33"/>
      <c r="J33" s="1">
        <v>2252.4</v>
      </c>
      <c r="K33" s="1">
        <v>2221.9</v>
      </c>
      <c r="L33" s="1">
        <v>9125.05</v>
      </c>
      <c r="M33" s="1">
        <v>38749.61</v>
      </c>
      <c r="N33"/>
      <c r="O33" s="166">
        <v>40774</v>
      </c>
      <c r="P33" s="165">
        <f t="shared" si="33"/>
        <v>99.38265000000001</v>
      </c>
      <c r="Q33" s="165">
        <f t="shared" si="33"/>
        <v>82.40558151106173</v>
      </c>
      <c r="R33" s="165">
        <f t="shared" si="33"/>
        <v>78.00930395857104</v>
      </c>
      <c r="S33" s="165">
        <f t="shared" si="33"/>
        <v>71.9973331544916</v>
      </c>
      <c r="T33" s="165">
        <f t="shared" si="33"/>
        <v>81.3359506631098</v>
      </c>
    </row>
    <row r="34" spans="1:20" ht="15">
      <c r="A34" s="15">
        <v>40781</v>
      </c>
      <c r="B34" s="16">
        <v>19876.530000000002</v>
      </c>
      <c r="C34" s="8">
        <f t="shared" si="31"/>
        <v>0</v>
      </c>
      <c r="D34" s="9">
        <f aca="true" t="shared" si="34" ref="D34:G37">J34/J33-1</f>
        <v>0.044401527259811724</v>
      </c>
      <c r="E34" s="9">
        <f t="shared" si="34"/>
        <v>0.0495161798460777</v>
      </c>
      <c r="F34" s="9">
        <f t="shared" si="34"/>
        <v>0.03697513986224754</v>
      </c>
      <c r="G34" s="9">
        <f t="shared" si="34"/>
        <v>0.05074218811492548</v>
      </c>
      <c r="H34"/>
      <c r="I34"/>
      <c r="J34" s="1">
        <v>2352.41</v>
      </c>
      <c r="K34" s="1">
        <v>2331.92</v>
      </c>
      <c r="L34" s="1">
        <v>9462.45</v>
      </c>
      <c r="M34" s="1">
        <v>40715.85</v>
      </c>
      <c r="N34"/>
      <c r="O34" s="166">
        <v>40781</v>
      </c>
      <c r="P34" s="165">
        <f aca="true" t="shared" si="35" ref="P34:T37">P33*(1+C34)</f>
        <v>99.38265000000001</v>
      </c>
      <c r="Q34" s="165">
        <f t="shared" si="35"/>
        <v>86.06451518488576</v>
      </c>
      <c r="R34" s="165">
        <f t="shared" si="35"/>
        <v>81.87202668305099</v>
      </c>
      <c r="S34" s="165">
        <f t="shared" si="35"/>
        <v>74.65944461758775</v>
      </c>
      <c r="T34" s="165">
        <f t="shared" si="35"/>
        <v>85.4631147721636</v>
      </c>
    </row>
    <row r="35" spans="1:20" ht="15">
      <c r="A35" s="15">
        <v>40788</v>
      </c>
      <c r="B35" s="16">
        <v>19876.530000000002</v>
      </c>
      <c r="C35" s="8">
        <f t="shared" si="31"/>
        <v>0</v>
      </c>
      <c r="D35" s="9">
        <f t="shared" si="34"/>
        <v>0.003120204386140246</v>
      </c>
      <c r="E35" s="9">
        <f t="shared" si="34"/>
        <v>-0.015232083433393884</v>
      </c>
      <c r="F35" s="9">
        <f t="shared" si="34"/>
        <v>-0.02667596658370719</v>
      </c>
      <c r="G35" s="9">
        <f t="shared" si="34"/>
        <v>-0.00421383809990461</v>
      </c>
      <c r="H35"/>
      <c r="I35"/>
      <c r="J35" s="1">
        <v>2359.75</v>
      </c>
      <c r="K35" s="1">
        <v>2296.4</v>
      </c>
      <c r="L35" s="1">
        <v>9210.03</v>
      </c>
      <c r="M35" s="1">
        <v>40544.28</v>
      </c>
      <c r="N35"/>
      <c r="O35" s="166">
        <v>40788</v>
      </c>
      <c r="P35" s="165">
        <f t="shared" si="35"/>
        <v>99.38265000000001</v>
      </c>
      <c r="Q35" s="165">
        <f t="shared" si="35"/>
        <v>86.33305406265667</v>
      </c>
      <c r="R35" s="165">
        <f t="shared" si="35"/>
        <v>80.62494514175371</v>
      </c>
      <c r="S35" s="165">
        <f t="shared" si="35"/>
        <v>72.66783176781084</v>
      </c>
      <c r="T35" s="165">
        <f t="shared" si="35"/>
        <v>85.10298704300014</v>
      </c>
    </row>
    <row r="36" spans="1:20" ht="15">
      <c r="A36" s="15">
        <v>40795</v>
      </c>
      <c r="B36" s="16">
        <v>19876.530000000002</v>
      </c>
      <c r="C36" s="8">
        <f t="shared" si="31"/>
        <v>0</v>
      </c>
      <c r="D36" s="9">
        <f t="shared" si="34"/>
        <v>-0.04704311897446778</v>
      </c>
      <c r="E36" s="9">
        <f t="shared" si="34"/>
        <v>-0.04952969865877033</v>
      </c>
      <c r="F36" s="9">
        <f t="shared" si="34"/>
        <v>-0.041245251101245106</v>
      </c>
      <c r="G36" s="9">
        <f t="shared" si="34"/>
        <v>-0.045276670346593884</v>
      </c>
      <c r="H36"/>
      <c r="I36"/>
      <c r="J36" s="1">
        <v>2248.74</v>
      </c>
      <c r="K36" s="1">
        <v>2182.66</v>
      </c>
      <c r="L36" s="1">
        <v>8830.16</v>
      </c>
      <c r="M36" s="1">
        <v>38708.57</v>
      </c>
      <c r="N36"/>
      <c r="O36" s="166">
        <v>40795</v>
      </c>
      <c r="P36" s="165">
        <f t="shared" si="35"/>
        <v>99.38265000000001</v>
      </c>
      <c r="Q36" s="165">
        <f t="shared" si="35"/>
        <v>82.27167792895796</v>
      </c>
      <c r="R36" s="165">
        <f t="shared" si="35"/>
        <v>76.63161590450277</v>
      </c>
      <c r="S36" s="165">
        <f t="shared" si="35"/>
        <v>69.67062879956444</v>
      </c>
      <c r="T36" s="165">
        <f t="shared" si="35"/>
        <v>81.24980715314378</v>
      </c>
    </row>
    <row r="37" spans="1:20" ht="15">
      <c r="A37" s="15">
        <v>40802</v>
      </c>
      <c r="B37" s="16">
        <v>19876.530000000002</v>
      </c>
      <c r="C37" s="8">
        <f t="shared" si="31"/>
        <v>0</v>
      </c>
      <c r="D37" s="9">
        <f t="shared" si="34"/>
        <v>0.022136841075446778</v>
      </c>
      <c r="E37" s="9">
        <f t="shared" si="34"/>
        <v>-0.0093555569809316</v>
      </c>
      <c r="F37" s="9">
        <f t="shared" si="34"/>
        <v>-0.013691711135472073</v>
      </c>
      <c r="G37" s="9">
        <f t="shared" si="34"/>
        <v>0.014103595147017867</v>
      </c>
      <c r="H37"/>
      <c r="I37"/>
      <c r="J37" s="1">
        <v>2298.52</v>
      </c>
      <c r="K37" s="1">
        <v>2162.24</v>
      </c>
      <c r="L37" s="1">
        <v>8709.26</v>
      </c>
      <c r="M37" s="1">
        <v>39254.5</v>
      </c>
      <c r="N37"/>
      <c r="O37" s="166">
        <v>40802</v>
      </c>
      <c r="P37" s="165">
        <f t="shared" si="35"/>
        <v>99.38265000000001</v>
      </c>
      <c r="Q37" s="165">
        <f t="shared" si="35"/>
        <v>84.09291298828164</v>
      </c>
      <c r="R37" s="165">
        <f t="shared" si="35"/>
        <v>75.91468445536732</v>
      </c>
      <c r="S37" s="165">
        <f t="shared" si="35"/>
        <v>68.7167186754141</v>
      </c>
      <c r="T37" s="165">
        <f t="shared" si="35"/>
        <v>82.395721539005</v>
      </c>
    </row>
    <row r="38" spans="1:20" ht="15">
      <c r="A38" s="15">
        <v>40809</v>
      </c>
      <c r="B38" s="16">
        <v>19876.53</v>
      </c>
      <c r="C38" s="8">
        <f t="shared" si="31"/>
        <v>0</v>
      </c>
      <c r="D38" s="9">
        <f aca="true" t="shared" si="36" ref="D38:G39">J38/J37-1</f>
        <v>-0.07939456693872571</v>
      </c>
      <c r="E38" s="9">
        <f t="shared" si="36"/>
        <v>-0.03258195204972614</v>
      </c>
      <c r="F38" s="9">
        <f t="shared" si="36"/>
        <v>-0.024816115261227845</v>
      </c>
      <c r="G38" s="9">
        <f t="shared" si="36"/>
        <v>-0.062490669859506576</v>
      </c>
      <c r="H38"/>
      <c r="I38"/>
      <c r="J38" s="1">
        <v>2116.03</v>
      </c>
      <c r="K38" s="1">
        <v>2091.79</v>
      </c>
      <c r="L38" s="1">
        <v>8493.13</v>
      </c>
      <c r="M38" s="1">
        <v>36801.46</v>
      </c>
      <c r="N38"/>
      <c r="O38" s="166">
        <v>40809</v>
      </c>
      <c r="P38" s="165">
        <f aca="true" t="shared" si="37" ref="P38:T39">P37*(1+C38)</f>
        <v>99.38265000000001</v>
      </c>
      <c r="Q38" s="165">
        <f t="shared" si="37"/>
        <v>77.41639257896108</v>
      </c>
      <c r="R38" s="165">
        <f t="shared" si="37"/>
        <v>73.44123584657245</v>
      </c>
      <c r="S38" s="165">
        <f t="shared" si="37"/>
        <v>67.01143666439165</v>
      </c>
      <c r="T38" s="165">
        <f t="shared" si="37"/>
        <v>77.2467577064752</v>
      </c>
    </row>
    <row r="39" spans="1:20" ht="15">
      <c r="A39" s="15">
        <v>40816</v>
      </c>
      <c r="B39" s="16">
        <v>20000</v>
      </c>
      <c r="C39" s="8">
        <f t="shared" si="31"/>
        <v>0.006211848848868495</v>
      </c>
      <c r="D39" s="9">
        <f t="shared" si="36"/>
        <v>0.034356790782739344</v>
      </c>
      <c r="E39" s="9">
        <f t="shared" si="36"/>
        <v>0.037140439527868496</v>
      </c>
      <c r="F39" s="9">
        <f t="shared" si="36"/>
        <v>0.03686155751766451</v>
      </c>
      <c r="G39" s="9">
        <f t="shared" si="36"/>
        <v>0.03987042905363003</v>
      </c>
      <c r="H39"/>
      <c r="I39"/>
      <c r="J39" s="1">
        <v>2188.73</v>
      </c>
      <c r="K39" s="1">
        <v>2169.48</v>
      </c>
      <c r="L39" s="1">
        <v>8806.2</v>
      </c>
      <c r="M39" s="1">
        <v>38268.75</v>
      </c>
      <c r="N39"/>
      <c r="O39" s="166">
        <v>40816</v>
      </c>
      <c r="P39" s="165">
        <f t="shared" si="37"/>
        <v>100.00000000000001</v>
      </c>
      <c r="Q39" s="165">
        <f t="shared" si="37"/>
        <v>80.07617138195086</v>
      </c>
      <c r="R39" s="165">
        <f t="shared" si="37"/>
        <v>76.168875625384</v>
      </c>
      <c r="S39" s="165">
        <f t="shared" si="37"/>
        <v>69.48158259133746</v>
      </c>
      <c r="T39" s="165">
        <f t="shared" si="37"/>
        <v>80.32661907923416</v>
      </c>
    </row>
    <row r="40" spans="1:20" ht="15">
      <c r="A40" s="15">
        <v>40823</v>
      </c>
      <c r="B40" s="16">
        <v>20000</v>
      </c>
      <c r="C40" s="8">
        <f aca="true" t="shared" si="38" ref="C40:C50">B40/B39-1</f>
        <v>0</v>
      </c>
      <c r="D40" s="9">
        <f aca="true" t="shared" si="39" ref="D40:G42">J40/J39-1</f>
        <v>0.0007401552498480513</v>
      </c>
      <c r="E40" s="9">
        <f t="shared" si="39"/>
        <v>-0.011021074174456524</v>
      </c>
      <c r="F40" s="9">
        <f t="shared" si="39"/>
        <v>-0.00873361949535556</v>
      </c>
      <c r="G40" s="9">
        <f t="shared" si="39"/>
        <v>-0.002452653927813131</v>
      </c>
      <c r="H40"/>
      <c r="I40"/>
      <c r="J40" s="1">
        <v>2190.35</v>
      </c>
      <c r="K40" s="1">
        <v>2145.57</v>
      </c>
      <c r="L40" s="1">
        <v>8729.29</v>
      </c>
      <c r="M40" s="1">
        <v>38174.89</v>
      </c>
      <c r="N40"/>
      <c r="O40" s="166">
        <v>40823</v>
      </c>
      <c r="P40" s="165">
        <f aca="true" t="shared" si="40" ref="P40:T42">P39*(1+C40)</f>
        <v>100.00000000000001</v>
      </c>
      <c r="Q40" s="165">
        <f t="shared" si="40"/>
        <v>80.13544018058694</v>
      </c>
      <c r="R40" s="165">
        <f t="shared" si="40"/>
        <v>75.3294127973317</v>
      </c>
      <c r="S40" s="165">
        <f t="shared" si="40"/>
        <v>68.8747568870496</v>
      </c>
      <c r="T40" s="165">
        <f t="shared" si="40"/>
        <v>80.12960568144153</v>
      </c>
    </row>
    <row r="41" spans="1:20" ht="15">
      <c r="A41" s="15">
        <v>40830</v>
      </c>
      <c r="B41" s="2">
        <v>19994.9</v>
      </c>
      <c r="C41" s="8">
        <f t="shared" si="38"/>
        <v>-0.0002549999999998942</v>
      </c>
      <c r="D41" s="9">
        <f t="shared" si="39"/>
        <v>0.05035724884150938</v>
      </c>
      <c r="E41" s="9">
        <f t="shared" si="39"/>
        <v>0.053738633556583926</v>
      </c>
      <c r="F41" s="9">
        <f t="shared" si="39"/>
        <v>0.03595137748889088</v>
      </c>
      <c r="G41" s="9">
        <f t="shared" si="39"/>
        <v>0.04850675404696636</v>
      </c>
      <c r="J41" s="1">
        <v>2300.65</v>
      </c>
      <c r="K41" s="1">
        <v>2260.87</v>
      </c>
      <c r="L41" s="1">
        <v>9043.12</v>
      </c>
      <c r="M41" s="1">
        <v>40026.63</v>
      </c>
      <c r="O41" s="166">
        <v>40830</v>
      </c>
      <c r="P41" s="165">
        <f t="shared" si="40"/>
        <v>99.97450000000002</v>
      </c>
      <c r="Q41" s="165">
        <f t="shared" si="40"/>
        <v>84.17084048278464</v>
      </c>
      <c r="R41" s="165">
        <f t="shared" si="40"/>
        <v>79.37751250768015</v>
      </c>
      <c r="S41" s="165">
        <f t="shared" si="40"/>
        <v>71.35089927135151</v>
      </c>
      <c r="T41" s="165">
        <f t="shared" si="40"/>
        <v>84.01643275611161</v>
      </c>
    </row>
    <row r="42" spans="1:20" ht="15">
      <c r="A42" s="15">
        <v>40837</v>
      </c>
      <c r="B42" s="2">
        <v>20014.81</v>
      </c>
      <c r="C42" s="8">
        <f t="shared" si="38"/>
        <v>0.0009957539172489316</v>
      </c>
      <c r="D42" s="9">
        <f t="shared" si="39"/>
        <v>0.0020733271032100653</v>
      </c>
      <c r="E42" s="9">
        <f t="shared" si="39"/>
        <v>-8.40384453772991E-05</v>
      </c>
      <c r="F42" s="9">
        <f t="shared" si="39"/>
        <v>-0.007926467856226638</v>
      </c>
      <c r="G42" s="9">
        <f t="shared" si="39"/>
        <v>0.0006937881105655297</v>
      </c>
      <c r="J42" s="1">
        <v>2305.42</v>
      </c>
      <c r="K42" s="1">
        <v>2260.68</v>
      </c>
      <c r="L42" s="1">
        <v>8971.44</v>
      </c>
      <c r="M42" s="1">
        <v>40054.4</v>
      </c>
      <c r="O42" s="166">
        <v>40837</v>
      </c>
      <c r="P42" s="165">
        <f t="shared" si="40"/>
        <v>100.07405000000003</v>
      </c>
      <c r="Q42" s="165">
        <f t="shared" si="40"/>
        <v>84.34535416765758</v>
      </c>
      <c r="R42" s="165">
        <f t="shared" si="40"/>
        <v>79.37084174493108</v>
      </c>
      <c r="S42" s="165">
        <f t="shared" si="40"/>
        <v>70.78533866176427</v>
      </c>
      <c r="T42" s="165">
        <f t="shared" si="40"/>
        <v>84.07472235824993</v>
      </c>
    </row>
    <row r="43" spans="1:20" ht="15">
      <c r="A43" s="15">
        <v>40844</v>
      </c>
      <c r="B43" s="2">
        <v>20124.36</v>
      </c>
      <c r="C43" s="8">
        <f t="shared" si="38"/>
        <v>0.005473446912561242</v>
      </c>
      <c r="D43" s="9">
        <f aca="true" t="shared" si="41" ref="D43:G44">J43/J42-1</f>
        <v>0.04505903479626272</v>
      </c>
      <c r="E43" s="9">
        <f t="shared" si="41"/>
        <v>0.033463382699010946</v>
      </c>
      <c r="F43" s="9">
        <f t="shared" si="41"/>
        <v>0.02051510125464806</v>
      </c>
      <c r="G43" s="9">
        <f t="shared" si="41"/>
        <v>0.040735100263641355</v>
      </c>
      <c r="J43" s="1">
        <v>2409.3</v>
      </c>
      <c r="K43" s="1">
        <v>2336.33</v>
      </c>
      <c r="L43" s="1">
        <v>9155.49</v>
      </c>
      <c r="M43" s="1">
        <v>41686.02</v>
      </c>
      <c r="O43" s="166">
        <v>40844</v>
      </c>
      <c r="P43" s="165">
        <f aca="true" t="shared" si="42" ref="P43:T44">P42*(1+C43)</f>
        <v>100.62180000000002</v>
      </c>
      <c r="Q43" s="165">
        <f t="shared" si="42"/>
        <v>88.14587441600116</v>
      </c>
      <c r="R43" s="165">
        <f t="shared" si="42"/>
        <v>82.02685859738435</v>
      </c>
      <c r="S43" s="165">
        <f t="shared" si="42"/>
        <v>72.23750705175492</v>
      </c>
      <c r="T43" s="165">
        <f t="shared" si="42"/>
        <v>87.49951460315106</v>
      </c>
    </row>
    <row r="44" spans="1:20" ht="15">
      <c r="A44" s="15">
        <v>40851</v>
      </c>
      <c r="B44" s="2">
        <v>20084.64</v>
      </c>
      <c r="C44" s="8">
        <f t="shared" si="38"/>
        <v>-0.0019737273632552954</v>
      </c>
      <c r="D44" s="9">
        <f t="shared" si="41"/>
        <v>-0.019333416344996635</v>
      </c>
      <c r="E44" s="9">
        <f t="shared" si="41"/>
        <v>-0.02225712977190719</v>
      </c>
      <c r="F44" s="9">
        <f t="shared" si="41"/>
        <v>-0.0015291371625112404</v>
      </c>
      <c r="G44" s="9">
        <f t="shared" si="41"/>
        <v>-0.01862039120069503</v>
      </c>
      <c r="J44" s="1">
        <v>2362.72</v>
      </c>
      <c r="K44" s="1">
        <v>2284.33</v>
      </c>
      <c r="L44" s="1">
        <v>9141.49</v>
      </c>
      <c r="M44" s="1">
        <v>40909.81</v>
      </c>
      <c r="O44" s="166">
        <v>40851</v>
      </c>
      <c r="P44" s="165">
        <f t="shared" si="42"/>
        <v>100.42320000000002</v>
      </c>
      <c r="Q44" s="165">
        <f t="shared" si="42"/>
        <v>86.44171352682282</v>
      </c>
      <c r="R44" s="165">
        <f t="shared" si="42"/>
        <v>80.20117616080049</v>
      </c>
      <c r="S44" s="165">
        <f t="shared" si="42"/>
        <v>72.1270459951949</v>
      </c>
      <c r="T44" s="165">
        <f t="shared" si="42"/>
        <v>85.87023941136945</v>
      </c>
    </row>
    <row r="45" spans="1:20" ht="15">
      <c r="A45" s="15">
        <v>40858</v>
      </c>
      <c r="B45" s="2">
        <v>20142.04</v>
      </c>
      <c r="C45" s="8">
        <f t="shared" si="38"/>
        <v>0.002857905344581857</v>
      </c>
      <c r="D45" s="9">
        <f aca="true" t="shared" si="43" ref="D45:G46">J45/J44-1</f>
        <v>-0.03143834224961051</v>
      </c>
      <c r="E45" s="9">
        <f t="shared" si="43"/>
        <v>-0.013470032788607589</v>
      </c>
      <c r="F45" s="9">
        <f t="shared" si="43"/>
        <v>-0.010395460696232317</v>
      </c>
      <c r="G45" s="9">
        <f t="shared" si="43"/>
        <v>-0.025828279329578874</v>
      </c>
      <c r="J45" s="1">
        <v>2288.44</v>
      </c>
      <c r="K45" s="1">
        <v>2253.56</v>
      </c>
      <c r="L45" s="1">
        <v>9046.46</v>
      </c>
      <c r="M45" s="1">
        <v>39853.18</v>
      </c>
      <c r="O45" s="166">
        <v>40858</v>
      </c>
      <c r="P45" s="165">
        <f aca="true" t="shared" si="44" ref="P45:T46">P44*(1+C45)</f>
        <v>100.71020000000003</v>
      </c>
      <c r="Q45" s="165">
        <f t="shared" si="44"/>
        <v>83.72412935232379</v>
      </c>
      <c r="R45" s="165">
        <f t="shared" si="44"/>
        <v>79.1208636882296</v>
      </c>
      <c r="S45" s="165">
        <f t="shared" si="44"/>
        <v>71.37725212341651</v>
      </c>
      <c r="T45" s="165">
        <f t="shared" si="44"/>
        <v>83.6523588817548</v>
      </c>
    </row>
    <row r="46" spans="1:20" ht="15">
      <c r="A46" s="15">
        <v>40865</v>
      </c>
      <c r="B46" s="2">
        <v>20187.42</v>
      </c>
      <c r="C46" s="8">
        <f t="shared" si="38"/>
        <v>0.002252999199683803</v>
      </c>
      <c r="D46" s="9">
        <f t="shared" si="43"/>
        <v>-0.021219695513100656</v>
      </c>
      <c r="E46" s="9">
        <f t="shared" si="43"/>
        <v>-0.019848595111734313</v>
      </c>
      <c r="F46" s="9">
        <f t="shared" si="43"/>
        <v>-0.011293920494867438</v>
      </c>
      <c r="G46" s="9">
        <f t="shared" si="43"/>
        <v>-0.01874254450962254</v>
      </c>
      <c r="J46" s="1">
        <v>2239.88</v>
      </c>
      <c r="K46" s="1">
        <v>2208.83</v>
      </c>
      <c r="L46" s="1">
        <v>8944.29</v>
      </c>
      <c r="M46" s="1">
        <v>39106.23</v>
      </c>
      <c r="O46" s="166">
        <v>40865</v>
      </c>
      <c r="P46" s="165">
        <f t="shared" si="44"/>
        <v>100.93710000000003</v>
      </c>
      <c r="Q46" s="165">
        <f t="shared" si="44"/>
        <v>81.94752882036802</v>
      </c>
      <c r="R46" s="165">
        <f t="shared" si="44"/>
        <v>77.55042569999121</v>
      </c>
      <c r="S46" s="165">
        <f t="shared" si="44"/>
        <v>70.57112311279253</v>
      </c>
      <c r="T46" s="165">
        <f t="shared" si="44"/>
        <v>82.08450082207858</v>
      </c>
    </row>
    <row r="47" spans="1:20" ht="15">
      <c r="A47" s="15">
        <v>40872</v>
      </c>
      <c r="B47" s="2">
        <v>19984.07</v>
      </c>
      <c r="C47" s="8">
        <f t="shared" si="38"/>
        <v>-0.010073104933666532</v>
      </c>
      <c r="D47" s="9">
        <f aca="true" t="shared" si="45" ref="D47:G48">J47/J46-1</f>
        <v>-0.033966105327071006</v>
      </c>
      <c r="E47" s="9">
        <f t="shared" si="45"/>
        <v>-0.05439078607226444</v>
      </c>
      <c r="F47" s="9">
        <f t="shared" si="45"/>
        <v>-0.045785635304758765</v>
      </c>
      <c r="G47" s="9">
        <f t="shared" si="45"/>
        <v>-0.03847647804454701</v>
      </c>
      <c r="J47" s="1">
        <v>2163.8</v>
      </c>
      <c r="K47" s="1">
        <v>2088.69</v>
      </c>
      <c r="L47" s="1">
        <v>8534.77</v>
      </c>
      <c r="M47" s="1">
        <v>37601.56</v>
      </c>
      <c r="O47" s="166">
        <v>40872</v>
      </c>
      <c r="P47" s="165">
        <f aca="true" t="shared" si="46" ref="P47:T48">P46*(1+C47)</f>
        <v>99.92035000000004</v>
      </c>
      <c r="Q47" s="165">
        <f t="shared" si="46"/>
        <v>79.16409042516221</v>
      </c>
      <c r="R47" s="165">
        <f t="shared" si="46"/>
        <v>73.33239708592995</v>
      </c>
      <c r="S47" s="165">
        <f t="shared" si="46"/>
        <v>67.33997940690298</v>
      </c>
      <c r="T47" s="165">
        <f t="shared" si="46"/>
        <v>78.92617832840027</v>
      </c>
    </row>
    <row r="48" spans="1:20" ht="15">
      <c r="A48" s="15">
        <v>40879</v>
      </c>
      <c r="B48" s="2">
        <v>20042.29</v>
      </c>
      <c r="C48" s="8">
        <f t="shared" si="38"/>
        <v>0.002913320459746238</v>
      </c>
      <c r="D48" s="9">
        <f t="shared" si="45"/>
        <v>0.04348830760698763</v>
      </c>
      <c r="E48" s="9">
        <f t="shared" si="45"/>
        <v>0.04747952065648797</v>
      </c>
      <c r="F48" s="9">
        <f t="shared" si="45"/>
        <v>0.018545315222319836</v>
      </c>
      <c r="G48" s="9">
        <f t="shared" si="45"/>
        <v>0.04102436175520374</v>
      </c>
      <c r="J48" s="1">
        <v>2257.9</v>
      </c>
      <c r="K48" s="1">
        <v>2187.86</v>
      </c>
      <c r="L48" s="1">
        <v>8693.05</v>
      </c>
      <c r="M48" s="1">
        <v>39144.14</v>
      </c>
      <c r="O48" s="166">
        <v>40879</v>
      </c>
      <c r="P48" s="165">
        <f t="shared" si="46"/>
        <v>100.21145000000004</v>
      </c>
      <c r="Q48" s="165">
        <f t="shared" si="46"/>
        <v>82.60680274099906</v>
      </c>
      <c r="R48" s="165">
        <f t="shared" si="46"/>
        <v>76.81418414816115</v>
      </c>
      <c r="S48" s="165">
        <f t="shared" si="46"/>
        <v>68.58882055206853</v>
      </c>
      <c r="T48" s="165">
        <f t="shared" si="46"/>
        <v>82.16407442010028</v>
      </c>
    </row>
    <row r="49" spans="1:20" ht="15">
      <c r="A49" s="15">
        <v>40886</v>
      </c>
      <c r="B49" s="2">
        <v>20000.54</v>
      </c>
      <c r="C49" s="8">
        <f t="shared" si="38"/>
        <v>-0.002083095294998727</v>
      </c>
      <c r="D49" s="9">
        <f aca="true" t="shared" si="47" ref="D49:G50">J49/J48-1</f>
        <v>-0.013738429514150274</v>
      </c>
      <c r="E49" s="9">
        <f t="shared" si="47"/>
        <v>-0.006270967977841435</v>
      </c>
      <c r="F49" s="9">
        <f t="shared" si="47"/>
        <v>-0.01723905878834231</v>
      </c>
      <c r="G49" s="9">
        <f t="shared" si="47"/>
        <v>-0.012951363856761211</v>
      </c>
      <c r="J49" s="1">
        <v>2226.88</v>
      </c>
      <c r="K49" s="1">
        <v>2174.14</v>
      </c>
      <c r="L49" s="1">
        <v>8543.19</v>
      </c>
      <c r="M49" s="1">
        <v>38637.17</v>
      </c>
      <c r="O49" s="166">
        <v>40886</v>
      </c>
      <c r="P49" s="165">
        <f aca="true" t="shared" si="48" ref="P49:T50">P48*(1+C49)</f>
        <v>100.00270000000005</v>
      </c>
      <c r="Q49" s="165">
        <f t="shared" si="48"/>
        <v>81.47191500415252</v>
      </c>
      <c r="R49" s="165">
        <f t="shared" si="48"/>
        <v>76.33248485912401</v>
      </c>
      <c r="S49" s="165">
        <f t="shared" si="48"/>
        <v>67.40641384234836</v>
      </c>
      <c r="T49" s="165">
        <f t="shared" si="48"/>
        <v>81.09993759633156</v>
      </c>
    </row>
    <row r="50" spans="1:20" ht="15">
      <c r="A50" s="15">
        <v>40893</v>
      </c>
      <c r="B50" s="2">
        <v>19939.680000000004</v>
      </c>
      <c r="C50" s="8">
        <f t="shared" si="38"/>
        <v>-0.003042917841218129</v>
      </c>
      <c r="D50" s="9">
        <f t="shared" si="47"/>
        <v>-0.049778164966230776</v>
      </c>
      <c r="E50" s="9">
        <f t="shared" si="47"/>
        <v>-0.02983708500832505</v>
      </c>
      <c r="F50" s="9">
        <f t="shared" si="47"/>
        <v>-0.02321615228035434</v>
      </c>
      <c r="G50" s="9">
        <f t="shared" si="47"/>
        <v>-0.04233436351575437</v>
      </c>
      <c r="J50" s="1">
        <v>2116.03</v>
      </c>
      <c r="K50" s="1">
        <v>2109.27</v>
      </c>
      <c r="L50" s="1">
        <v>8344.85</v>
      </c>
      <c r="M50" s="1">
        <v>37001.49</v>
      </c>
      <c r="O50" s="166">
        <v>40893</v>
      </c>
      <c r="P50" s="165">
        <f t="shared" si="48"/>
        <v>99.69840000000006</v>
      </c>
      <c r="Q50" s="165">
        <f t="shared" si="48"/>
        <v>77.41639257896108</v>
      </c>
      <c r="R50" s="165">
        <f t="shared" si="48"/>
        <v>74.05494601948564</v>
      </c>
      <c r="S50" s="165">
        <f t="shared" si="48"/>
        <v>65.84149627391182</v>
      </c>
      <c r="T50" s="165">
        <f t="shared" si="48"/>
        <v>77.66662335702347</v>
      </c>
    </row>
    <row r="51" spans="1:20" ht="15">
      <c r="A51" s="15">
        <v>40900</v>
      </c>
      <c r="B51" s="2">
        <v>19973.63</v>
      </c>
      <c r="C51" s="8">
        <f aca="true" t="shared" si="49" ref="C51:C56">B51/B50-1</f>
        <v>0.0017026351476050472</v>
      </c>
      <c r="D51" s="9">
        <f aca="true" t="shared" si="50" ref="D51:G52">J51/J50-1</f>
        <v>0.024952387253488695</v>
      </c>
      <c r="E51" s="9">
        <f t="shared" si="50"/>
        <v>0.020149151128115328</v>
      </c>
      <c r="F51" s="9">
        <f t="shared" si="50"/>
        <v>0.011995422326344984</v>
      </c>
      <c r="G51" s="9">
        <f t="shared" si="50"/>
        <v>0.021273737895419975</v>
      </c>
      <c r="J51" s="1">
        <v>2168.83</v>
      </c>
      <c r="K51" s="1">
        <v>2151.77</v>
      </c>
      <c r="L51" s="1">
        <v>8444.95</v>
      </c>
      <c r="M51" s="1">
        <v>37788.65</v>
      </c>
      <c r="O51" s="166">
        <v>40900</v>
      </c>
      <c r="P51" s="165">
        <f aca="true" t="shared" si="51" ref="P51:T52">P50*(1+C51)</f>
        <v>99.86815000000006</v>
      </c>
      <c r="Q51" s="165">
        <f t="shared" si="51"/>
        <v>79.34811638635942</v>
      </c>
      <c r="R51" s="165">
        <f t="shared" si="51"/>
        <v>75.54709031861668</v>
      </c>
      <c r="S51" s="165">
        <f t="shared" si="51"/>
        <v>66.63129282831586</v>
      </c>
      <c r="T51" s="165">
        <f t="shared" si="51"/>
        <v>79.31888274554309</v>
      </c>
    </row>
    <row r="52" spans="1:20" ht="15">
      <c r="A52" s="15">
        <v>40907</v>
      </c>
      <c r="B52" s="2">
        <v>19976.56</v>
      </c>
      <c r="C52" s="8">
        <f t="shared" si="49"/>
        <v>0.00014669341526807322</v>
      </c>
      <c r="D52" s="9">
        <f t="shared" si="50"/>
        <v>-0.011227251559596585</v>
      </c>
      <c r="E52" s="9">
        <f t="shared" si="50"/>
        <v>0.010279909098091178</v>
      </c>
      <c r="F52" s="9">
        <f t="shared" si="50"/>
        <v>0.0061089763704935685</v>
      </c>
      <c r="G52" s="9">
        <f t="shared" si="50"/>
        <v>-0.005112910887263733</v>
      </c>
      <c r="J52" s="1">
        <v>2144.48</v>
      </c>
      <c r="K52" s="1">
        <v>2173.89</v>
      </c>
      <c r="L52" s="1">
        <v>8496.54</v>
      </c>
      <c r="M52" s="1">
        <v>37595.44</v>
      </c>
      <c r="O52" s="166">
        <v>40907</v>
      </c>
      <c r="P52" s="165">
        <f t="shared" si="51"/>
        <v>99.88280000000006</v>
      </c>
      <c r="Q52" s="165">
        <f t="shared" si="51"/>
        <v>78.45725512290961</v>
      </c>
      <c r="R52" s="165">
        <f t="shared" si="51"/>
        <v>76.32370753971735</v>
      </c>
      <c r="S52" s="165">
        <f t="shared" si="51"/>
        <v>67.03834182173948</v>
      </c>
      <c r="T52" s="165">
        <f t="shared" si="51"/>
        <v>78.9133323663878</v>
      </c>
    </row>
    <row r="53" spans="1:20" ht="15">
      <c r="A53" s="15">
        <v>40914</v>
      </c>
      <c r="B53" s="2">
        <v>20139.14</v>
      </c>
      <c r="C53" s="8">
        <f t="shared" si="49"/>
        <v>0.008138538366966097</v>
      </c>
      <c r="D53" s="9">
        <f aca="true" t="shared" si="52" ref="D53:G54">J53/J52-1</f>
        <v>0.006038759979108965</v>
      </c>
      <c r="E53" s="9">
        <f t="shared" si="52"/>
        <v>-0.006513669044891812</v>
      </c>
      <c r="F53" s="9">
        <f t="shared" si="52"/>
        <v>0.012380333641693886</v>
      </c>
      <c r="G53" s="9">
        <f t="shared" si="52"/>
        <v>0.00382892180541039</v>
      </c>
      <c r="J53" s="1">
        <v>2157.43</v>
      </c>
      <c r="K53" s="1">
        <v>2159.73</v>
      </c>
      <c r="L53" s="1">
        <v>8601.73</v>
      </c>
      <c r="M53" s="1">
        <v>37739.39</v>
      </c>
      <c r="O53" s="166">
        <v>40914</v>
      </c>
      <c r="P53" s="165">
        <f aca="true" t="shared" si="53" ref="P53:T54">P52*(1+C53)</f>
        <v>100.69570000000006</v>
      </c>
      <c r="Q53" s="165">
        <f t="shared" si="53"/>
        <v>78.93103965521658</v>
      </c>
      <c r="R53" s="165">
        <f t="shared" si="53"/>
        <v>75.82656016852451</v>
      </c>
      <c r="S53" s="165">
        <f t="shared" si="53"/>
        <v>67.86829886027853</v>
      </c>
      <c r="T53" s="165">
        <f t="shared" si="53"/>
        <v>79.21548534542306</v>
      </c>
    </row>
    <row r="54" spans="1:20" ht="15">
      <c r="A54" s="15">
        <v>40921</v>
      </c>
      <c r="B54" s="2">
        <v>20208.64</v>
      </c>
      <c r="C54" s="8">
        <f t="shared" si="49"/>
        <v>0.003450991452465191</v>
      </c>
      <c r="D54" s="9">
        <f t="shared" si="52"/>
        <v>0.004148454411035507</v>
      </c>
      <c r="E54" s="9">
        <f t="shared" si="52"/>
        <v>0.011431984553624819</v>
      </c>
      <c r="F54" s="9">
        <f t="shared" si="52"/>
        <v>0.01299738540967943</v>
      </c>
      <c r="G54" s="9">
        <f t="shared" si="52"/>
        <v>0.006691152135739342</v>
      </c>
      <c r="J54" s="1">
        <v>2166.38</v>
      </c>
      <c r="K54" s="1">
        <v>2184.42</v>
      </c>
      <c r="L54" s="1">
        <v>8713.53</v>
      </c>
      <c r="M54" s="1">
        <v>37991.91</v>
      </c>
      <c r="O54" s="166">
        <v>40921</v>
      </c>
      <c r="P54" s="165">
        <f t="shared" si="53"/>
        <v>101.04320000000006</v>
      </c>
      <c r="Q54" s="165">
        <f t="shared" si="53"/>
        <v>79.25848147484189</v>
      </c>
      <c r="R54" s="165">
        <f t="shared" si="53"/>
        <v>76.69340823312558</v>
      </c>
      <c r="S54" s="165">
        <f t="shared" si="53"/>
        <v>68.75040929766487</v>
      </c>
      <c r="T54" s="165">
        <f t="shared" si="53"/>
        <v>79.74552820937572</v>
      </c>
    </row>
    <row r="55" spans="1:20" ht="15">
      <c r="A55" s="15">
        <v>40928</v>
      </c>
      <c r="B55" s="2">
        <v>20058.14</v>
      </c>
      <c r="C55" s="8">
        <f t="shared" si="49"/>
        <v>-0.007447309665568835</v>
      </c>
      <c r="D55" s="9">
        <f aca="true" t="shared" si="54" ref="D55:G56">J55/J54-1</f>
        <v>0.04368577996473366</v>
      </c>
      <c r="E55" s="9">
        <f t="shared" si="54"/>
        <v>0.031843693062689304</v>
      </c>
      <c r="F55" s="9">
        <f t="shared" si="54"/>
        <v>0.029866196593114402</v>
      </c>
      <c r="G55" s="9">
        <f t="shared" si="54"/>
        <v>0.04019171449921832</v>
      </c>
      <c r="J55" s="89">
        <v>2261.02</v>
      </c>
      <c r="K55" s="89">
        <v>2253.98</v>
      </c>
      <c r="L55" s="89">
        <v>8973.77</v>
      </c>
      <c r="M55" s="89">
        <v>39518.87</v>
      </c>
      <c r="O55" s="166">
        <v>40928</v>
      </c>
      <c r="P55" s="165">
        <f aca="true" t="shared" si="55" ref="P55:T57">P54*(1+C55)</f>
        <v>100.29070000000004</v>
      </c>
      <c r="Q55" s="165">
        <f t="shared" si="55"/>
        <v>82.72095005689074</v>
      </c>
      <c r="R55" s="165">
        <f t="shared" si="55"/>
        <v>79.13560958483276</v>
      </c>
      <c r="S55" s="165">
        <f t="shared" si="55"/>
        <v>70.803722537606</v>
      </c>
      <c r="T55" s="165">
        <f t="shared" si="55"/>
        <v>82.95063771175631</v>
      </c>
    </row>
    <row r="56" spans="1:20" ht="15">
      <c r="A56" s="15">
        <v>40935</v>
      </c>
      <c r="B56" s="2">
        <v>20384.46</v>
      </c>
      <c r="C56" s="8">
        <f t="shared" si="49"/>
        <v>0.0162687068691314</v>
      </c>
      <c r="D56" s="9">
        <f t="shared" si="54"/>
        <v>0.020057319262987372</v>
      </c>
      <c r="E56" s="9">
        <f t="shared" si="54"/>
        <v>0.033043771462035965</v>
      </c>
      <c r="F56" s="9">
        <f t="shared" si="54"/>
        <v>0.03642393330785154</v>
      </c>
      <c r="G56" s="9">
        <f t="shared" si="54"/>
        <v>0.02401510974377552</v>
      </c>
      <c r="J56" s="89">
        <v>2306.37</v>
      </c>
      <c r="K56" s="89">
        <v>2328.46</v>
      </c>
      <c r="L56" s="89">
        <v>9300.63</v>
      </c>
      <c r="M56" s="89">
        <v>40467.92</v>
      </c>
      <c r="O56" s="166">
        <v>40935</v>
      </c>
      <c r="P56" s="165">
        <f t="shared" si="55"/>
        <v>101.92230000000004</v>
      </c>
      <c r="Q56" s="165">
        <f t="shared" si="55"/>
        <v>84.38011056191944</v>
      </c>
      <c r="R56" s="165">
        <f t="shared" si="55"/>
        <v>81.75054858246288</v>
      </c>
      <c r="S56" s="165">
        <f t="shared" si="55"/>
        <v>73.3826726052634</v>
      </c>
      <c r="T56" s="165">
        <f t="shared" si="55"/>
        <v>84.9427063797203</v>
      </c>
    </row>
    <row r="57" spans="1:20" ht="15">
      <c r="A57" s="15">
        <v>40942</v>
      </c>
      <c r="B57" s="2">
        <v>20632.590000000004</v>
      </c>
      <c r="C57" s="8">
        <f aca="true" t="shared" si="56" ref="C57:C62">B57/B56-1</f>
        <v>0.012172507881003769</v>
      </c>
      <c r="D57" s="9">
        <f aca="true" t="shared" si="57" ref="D57:G58">J57/J56-1</f>
        <v>0.029526918924543732</v>
      </c>
      <c r="E57" s="9">
        <f t="shared" si="57"/>
        <v>0.03168188416378204</v>
      </c>
      <c r="F57" s="9">
        <f t="shared" si="57"/>
        <v>0.038026456272317155</v>
      </c>
      <c r="G57" s="9">
        <f t="shared" si="57"/>
        <v>0.03124400759910584</v>
      </c>
      <c r="J57" s="89">
        <v>2374.47</v>
      </c>
      <c r="K57" s="89">
        <v>2402.23</v>
      </c>
      <c r="L57" s="89">
        <v>9654.3</v>
      </c>
      <c r="M57" s="89">
        <v>41732.3</v>
      </c>
      <c r="O57" s="166">
        <v>40942</v>
      </c>
      <c r="P57" s="165">
        <f t="shared" si="55"/>
        <v>103.16295000000007</v>
      </c>
      <c r="Q57" s="165">
        <f t="shared" si="55"/>
        <v>86.87159524532527</v>
      </c>
      <c r="R57" s="165">
        <f t="shared" si="55"/>
        <v>84.34055999297811</v>
      </c>
      <c r="S57" s="165">
        <f t="shared" si="55"/>
        <v>76.17315559623322</v>
      </c>
      <c r="T57" s="165">
        <f t="shared" si="55"/>
        <v>87.59665694333691</v>
      </c>
    </row>
    <row r="58" spans="1:20" ht="15">
      <c r="A58" s="15">
        <v>40949</v>
      </c>
      <c r="B58" s="2">
        <v>20565.89</v>
      </c>
      <c r="C58" s="8">
        <f t="shared" si="56"/>
        <v>-0.0032327497420345797</v>
      </c>
      <c r="D58" s="9">
        <f t="shared" si="57"/>
        <v>-0.02084675738164732</v>
      </c>
      <c r="E58" s="9">
        <f t="shared" si="57"/>
        <v>0.003063819867373363</v>
      </c>
      <c r="F58" s="9">
        <f t="shared" si="57"/>
        <v>0.01732802999699623</v>
      </c>
      <c r="G58" s="9">
        <f t="shared" si="57"/>
        <v>-0.01228952154566132</v>
      </c>
      <c r="J58" s="1">
        <v>2324.97</v>
      </c>
      <c r="K58" s="1">
        <v>2409.59</v>
      </c>
      <c r="L58" s="1">
        <v>9821.59</v>
      </c>
      <c r="M58" s="1">
        <v>41219.43</v>
      </c>
      <c r="O58" s="166">
        <v>40949</v>
      </c>
      <c r="P58" s="165">
        <f aca="true" t="shared" si="58" ref="P58:T59">P57*(1+C58)</f>
        <v>102.82945000000004</v>
      </c>
      <c r="Q58" s="165">
        <f t="shared" si="58"/>
        <v>85.06060417588931</v>
      </c>
      <c r="R58" s="165">
        <f t="shared" si="58"/>
        <v>84.59896427631</v>
      </c>
      <c r="S58" s="165">
        <f t="shared" si="58"/>
        <v>77.49308632137061</v>
      </c>
      <c r="T58" s="165">
        <f t="shared" si="58"/>
        <v>86.52013594050386</v>
      </c>
    </row>
    <row r="59" spans="1:20" ht="15">
      <c r="A59" s="15">
        <v>40956</v>
      </c>
      <c r="B59" s="2">
        <v>20950.93</v>
      </c>
      <c r="C59" s="8">
        <f t="shared" si="56"/>
        <v>0.018722262931485156</v>
      </c>
      <c r="D59" s="9">
        <f aca="true" t="shared" si="59" ref="D59:G62">J59/J58-1</f>
        <v>0.020658331075239733</v>
      </c>
      <c r="E59" s="9">
        <f t="shared" si="59"/>
        <v>0.029847401425138642</v>
      </c>
      <c r="F59" s="9">
        <f t="shared" si="59"/>
        <v>0.06174865780387884</v>
      </c>
      <c r="G59" s="9">
        <f t="shared" si="59"/>
        <v>0.022852572197141097</v>
      </c>
      <c r="J59" s="89">
        <v>2373</v>
      </c>
      <c r="K59" s="89">
        <v>2481.51</v>
      </c>
      <c r="L59" s="89">
        <v>10428.06</v>
      </c>
      <c r="M59" s="89">
        <v>42161.4</v>
      </c>
      <c r="O59" s="166">
        <v>40956</v>
      </c>
      <c r="P59" s="165">
        <f t="shared" si="58"/>
        <v>104.75465000000004</v>
      </c>
      <c r="Q59" s="165">
        <f t="shared" si="58"/>
        <v>86.81781429841475</v>
      </c>
      <c r="R59" s="165">
        <f t="shared" si="58"/>
        <v>87.12402352321598</v>
      </c>
      <c r="S59" s="165">
        <f t="shared" si="58"/>
        <v>82.27818039079537</v>
      </c>
      <c r="T59" s="165">
        <f t="shared" si="58"/>
        <v>88.49734359359068</v>
      </c>
    </row>
    <row r="60" spans="1:20" ht="15">
      <c r="A60" s="15">
        <v>40963</v>
      </c>
      <c r="B60" s="2">
        <v>20987.886674</v>
      </c>
      <c r="C60" s="8">
        <f t="shared" si="56"/>
        <v>0.0017639634135573345</v>
      </c>
      <c r="D60" s="9">
        <f t="shared" si="59"/>
        <v>-0.025752212389380635</v>
      </c>
      <c r="E60" s="9">
        <f t="shared" si="59"/>
        <v>-0.004896212386812926</v>
      </c>
      <c r="F60" s="9">
        <f t="shared" si="59"/>
        <v>-0.0021528453039202367</v>
      </c>
      <c r="G60" s="9">
        <f t="shared" si="59"/>
        <v>-0.015700854335956582</v>
      </c>
      <c r="J60" s="89">
        <v>2311.89</v>
      </c>
      <c r="K60" s="89">
        <v>2469.36</v>
      </c>
      <c r="L60" s="89">
        <v>10405.61</v>
      </c>
      <c r="M60" s="89">
        <v>41499.43</v>
      </c>
      <c r="O60" s="166">
        <v>40963</v>
      </c>
      <c r="P60" s="165">
        <f aca="true" t="shared" si="60" ref="P60:T62">P59*(1+C60)</f>
        <v>104.93943337000005</v>
      </c>
      <c r="Q60" s="165">
        <f t="shared" si="60"/>
        <v>84.58206350542017</v>
      </c>
      <c r="R60" s="165">
        <f t="shared" si="60"/>
        <v>86.69744580005263</v>
      </c>
      <c r="S60" s="165">
        <f t="shared" si="60"/>
        <v>82.10104819652594</v>
      </c>
      <c r="T60" s="165">
        <f t="shared" si="60"/>
        <v>87.10785969270862</v>
      </c>
    </row>
    <row r="61" spans="1:20" ht="15">
      <c r="A61" s="15">
        <v>40970</v>
      </c>
      <c r="B61" s="2">
        <v>20791.603772000002</v>
      </c>
      <c r="C61" s="8">
        <f t="shared" si="56"/>
        <v>-0.009352199440030184</v>
      </c>
      <c r="D61" s="9">
        <f t="shared" si="59"/>
        <v>0.0038929187807379417</v>
      </c>
      <c r="E61" s="9">
        <f t="shared" si="59"/>
        <v>-0.002867139663718543</v>
      </c>
      <c r="F61" s="9">
        <f t="shared" si="59"/>
        <v>-0.00850887165673142</v>
      </c>
      <c r="G61" s="9">
        <f t="shared" si="59"/>
        <v>0.0008298909165740387</v>
      </c>
      <c r="J61" s="89">
        <v>2320.89</v>
      </c>
      <c r="K61" s="89">
        <v>2462.28</v>
      </c>
      <c r="L61" s="89">
        <v>10317.07</v>
      </c>
      <c r="M61" s="89">
        <v>41533.87</v>
      </c>
      <c r="O61" s="166">
        <v>40970</v>
      </c>
      <c r="P61" s="165">
        <f t="shared" si="60"/>
        <v>103.95801886000005</v>
      </c>
      <c r="Q61" s="165">
        <f t="shared" si="60"/>
        <v>84.91133460895398</v>
      </c>
      <c r="R61" s="165">
        <f t="shared" si="60"/>
        <v>86.44887211445621</v>
      </c>
      <c r="S61" s="165">
        <f t="shared" si="60"/>
        <v>81.40246091453858</v>
      </c>
      <c r="T61" s="165">
        <f t="shared" si="60"/>
        <v>87.1801497142298</v>
      </c>
    </row>
    <row r="62" spans="1:20" ht="15">
      <c r="A62" s="15">
        <v>40977</v>
      </c>
      <c r="B62" s="2">
        <v>20977.03506</v>
      </c>
      <c r="C62" s="8">
        <f t="shared" si="56"/>
        <v>0.008918565880411622</v>
      </c>
      <c r="D62" s="9">
        <f t="shared" si="59"/>
        <v>-0.015024408739750639</v>
      </c>
      <c r="E62" s="9">
        <f t="shared" si="59"/>
        <v>0.008642396478060865</v>
      </c>
      <c r="F62" s="9">
        <f t="shared" si="59"/>
        <v>0.005758417845376673</v>
      </c>
      <c r="G62" s="9">
        <f t="shared" si="59"/>
        <v>-0.007160661888718889</v>
      </c>
      <c r="J62" s="89">
        <v>2286.02</v>
      </c>
      <c r="K62" s="89">
        <v>2483.56</v>
      </c>
      <c r="L62" s="89">
        <v>10376.48</v>
      </c>
      <c r="M62" s="89">
        <v>41236.46</v>
      </c>
      <c r="O62" s="166">
        <v>40977</v>
      </c>
      <c r="P62" s="165">
        <f t="shared" si="60"/>
        <v>104.88517530000004</v>
      </c>
      <c r="Q62" s="165">
        <f t="shared" si="60"/>
        <v>83.63559201115132</v>
      </c>
      <c r="R62" s="165">
        <f t="shared" si="60"/>
        <v>87.19599754235051</v>
      </c>
      <c r="S62" s="165">
        <f t="shared" si="60"/>
        <v>81.87121029812644</v>
      </c>
      <c r="T62" s="165">
        <f t="shared" si="60"/>
        <v>86.5558821387183</v>
      </c>
    </row>
    <row r="63" spans="1:20" ht="15">
      <c r="A63" s="15">
        <v>40984</v>
      </c>
      <c r="B63" s="2">
        <v>20986.93</v>
      </c>
      <c r="C63" s="8">
        <f aca="true" t="shared" si="61" ref="C63:C69">B63/B62-1</f>
        <v>0.0004717034591257274</v>
      </c>
      <c r="D63" s="9">
        <f aca="true" t="shared" si="62" ref="D63:G65">J63/J62-1</f>
        <v>0.022703213445201653</v>
      </c>
      <c r="E63" s="9">
        <f t="shared" si="62"/>
        <v>0.03155953550548407</v>
      </c>
      <c r="F63" s="9">
        <f t="shared" si="62"/>
        <v>0.015086040738285122</v>
      </c>
      <c r="G63" s="9">
        <f t="shared" si="62"/>
        <v>0.023592471322708253</v>
      </c>
      <c r="J63" s="89">
        <v>2337.92</v>
      </c>
      <c r="K63" s="89">
        <v>2561.94</v>
      </c>
      <c r="L63" s="89">
        <v>10533.02</v>
      </c>
      <c r="M63" s="89">
        <v>42209.33</v>
      </c>
      <c r="O63" s="166">
        <v>40984</v>
      </c>
      <c r="P63" s="165">
        <f aca="true" t="shared" si="63" ref="P63:T65">P62*(1+C63)</f>
        <v>104.93465000000006</v>
      </c>
      <c r="Q63" s="165">
        <f t="shared" si="63"/>
        <v>85.53438870819629</v>
      </c>
      <c r="R63" s="165">
        <f t="shared" si="63"/>
        <v>89.94786272272442</v>
      </c>
      <c r="S63" s="165">
        <f t="shared" si="63"/>
        <v>83.10632271197669</v>
      </c>
      <c r="T63" s="165">
        <f t="shared" si="63"/>
        <v>88.59794930588772</v>
      </c>
    </row>
    <row r="64" spans="1:20" ht="15">
      <c r="A64" s="15">
        <v>40991</v>
      </c>
      <c r="B64" s="2">
        <v>20963.03</v>
      </c>
      <c r="C64" s="8">
        <f t="shared" si="61"/>
        <v>-0.001138804008018357</v>
      </c>
      <c r="D64" s="9">
        <f t="shared" si="62"/>
        <v>-0.022917807281686242</v>
      </c>
      <c r="E64" s="9">
        <f t="shared" si="62"/>
        <v>-0.024742968219396144</v>
      </c>
      <c r="F64" s="9">
        <f t="shared" si="62"/>
        <v>-0.029867977085394348</v>
      </c>
      <c r="G64" s="9">
        <f t="shared" si="62"/>
        <v>-0.023675808168478474</v>
      </c>
      <c r="J64" s="1">
        <v>2284.34</v>
      </c>
      <c r="K64" s="1">
        <v>2498.55</v>
      </c>
      <c r="L64" s="1">
        <v>10218.42</v>
      </c>
      <c r="M64" s="1">
        <v>41209.99</v>
      </c>
      <c r="O64" s="166">
        <v>40991</v>
      </c>
      <c r="P64" s="165">
        <f t="shared" si="63"/>
        <v>104.81515000000006</v>
      </c>
      <c r="Q64" s="165">
        <f t="shared" si="63"/>
        <v>83.574128071825</v>
      </c>
      <c r="R64" s="165">
        <f t="shared" si="63"/>
        <v>87.72228561397344</v>
      </c>
      <c r="S64" s="165">
        <f t="shared" si="63"/>
        <v>80.62410496956399</v>
      </c>
      <c r="T64" s="165">
        <f t="shared" si="63"/>
        <v>86.50032125400095</v>
      </c>
    </row>
    <row r="65" spans="1:20" ht="15">
      <c r="A65" s="15">
        <v>40998</v>
      </c>
      <c r="B65" s="2">
        <v>21057.95</v>
      </c>
      <c r="C65" s="8">
        <f t="shared" si="61"/>
        <v>0.004527971385815954</v>
      </c>
      <c r="D65" s="9">
        <f t="shared" si="62"/>
        <v>0.0009587014192282695</v>
      </c>
      <c r="E65" s="9">
        <f t="shared" si="62"/>
        <v>0.002037181565307744</v>
      </c>
      <c r="F65" s="9">
        <f t="shared" si="62"/>
        <v>0.004309863951569737</v>
      </c>
      <c r="G65" s="9">
        <f t="shared" si="62"/>
        <v>0.0013872849762885942</v>
      </c>
      <c r="J65" s="1">
        <v>2286.53</v>
      </c>
      <c r="K65" s="1">
        <v>2503.64</v>
      </c>
      <c r="L65" s="1">
        <v>10262.46</v>
      </c>
      <c r="M65" s="1">
        <v>41267.16</v>
      </c>
      <c r="O65" s="166">
        <v>40998</v>
      </c>
      <c r="P65" s="165">
        <f t="shared" si="63"/>
        <v>105.28975000000007</v>
      </c>
      <c r="Q65" s="165">
        <f t="shared" si="63"/>
        <v>83.65425070701822</v>
      </c>
      <c r="R65" s="165">
        <f t="shared" si="63"/>
        <v>87.90099183709289</v>
      </c>
      <c r="S65" s="165">
        <f t="shared" si="63"/>
        <v>80.97158389319989</v>
      </c>
      <c r="T65" s="165">
        <f t="shared" si="63"/>
        <v>86.62032185012076</v>
      </c>
    </row>
    <row r="66" spans="1:20" ht="15">
      <c r="A66" s="15">
        <v>41005</v>
      </c>
      <c r="B66" s="2">
        <v>21171.39</v>
      </c>
      <c r="C66" s="8">
        <f t="shared" si="61"/>
        <v>0.005387039099247426</v>
      </c>
      <c r="D66" s="9">
        <f aca="true" t="shared" si="64" ref="D66:G67">J66/J65-1</f>
        <v>-0.010137632132532826</v>
      </c>
      <c r="E66" s="9">
        <f t="shared" si="64"/>
        <v>-0.010760332955217278</v>
      </c>
      <c r="F66" s="9">
        <f t="shared" si="64"/>
        <v>-0.01642880946673586</v>
      </c>
      <c r="G66" s="9">
        <f t="shared" si="64"/>
        <v>-0.01126198168228687</v>
      </c>
      <c r="J66" s="1">
        <v>2263.35</v>
      </c>
      <c r="K66" s="1">
        <v>2476.7</v>
      </c>
      <c r="L66" s="1">
        <v>10093.86</v>
      </c>
      <c r="M66" s="1">
        <v>40802.41</v>
      </c>
      <c r="O66" s="166">
        <v>41005</v>
      </c>
      <c r="P66" s="165">
        <f aca="true" t="shared" si="65" ref="P66:T67">P65*(1+C66)</f>
        <v>105.85695000000005</v>
      </c>
      <c r="Q66" s="165">
        <f t="shared" si="65"/>
        <v>82.8061946870278</v>
      </c>
      <c r="R66" s="165">
        <f t="shared" si="65"/>
        <v>86.95514789783194</v>
      </c>
      <c r="S66" s="165">
        <f t="shared" si="65"/>
        <v>79.64131716919869</v>
      </c>
      <c r="T66" s="165">
        <f t="shared" si="65"/>
        <v>85.6448053721309</v>
      </c>
    </row>
    <row r="67" spans="1:20" ht="15">
      <c r="A67" s="15">
        <v>41012</v>
      </c>
      <c r="B67" s="2">
        <v>21081.77</v>
      </c>
      <c r="C67" s="8">
        <f t="shared" si="61"/>
        <v>-0.004233071139873146</v>
      </c>
      <c r="D67" s="9">
        <f t="shared" si="64"/>
        <v>-0.005929264143857638</v>
      </c>
      <c r="E67" s="9">
        <f t="shared" si="64"/>
        <v>-0.001594864133726226</v>
      </c>
      <c r="F67" s="9">
        <f t="shared" si="64"/>
        <v>0.0018506299869425202</v>
      </c>
      <c r="G67" s="9">
        <f t="shared" si="64"/>
        <v>-0.003276767230171118</v>
      </c>
      <c r="J67" s="89">
        <v>2249.93</v>
      </c>
      <c r="K67" s="89">
        <v>2472.75</v>
      </c>
      <c r="L67" s="89">
        <v>10112.54</v>
      </c>
      <c r="M67" s="89">
        <v>40668.71</v>
      </c>
      <c r="O67" s="166">
        <v>41012</v>
      </c>
      <c r="P67" s="165">
        <f t="shared" si="65"/>
        <v>105.40885000000006</v>
      </c>
      <c r="Q67" s="165">
        <f t="shared" si="65"/>
        <v>82.31521488598071</v>
      </c>
      <c r="R67" s="165">
        <f t="shared" si="65"/>
        <v>86.81646625120682</v>
      </c>
      <c r="S67" s="165">
        <f t="shared" si="65"/>
        <v>79.7887037789516</v>
      </c>
      <c r="T67" s="165">
        <f t="shared" si="65"/>
        <v>85.36416728045312</v>
      </c>
    </row>
    <row r="68" spans="1:20" ht="15">
      <c r="A68" s="15">
        <v>41019</v>
      </c>
      <c r="B68" s="2">
        <v>21145.59</v>
      </c>
      <c r="C68" s="8">
        <f t="shared" si="61"/>
        <v>0.0030272600450531595</v>
      </c>
      <c r="D68" s="9">
        <f aca="true" t="shared" si="66" ref="D68:G69">J68/J67-1</f>
        <v>-0.012453720782424349</v>
      </c>
      <c r="E68" s="9">
        <f t="shared" si="66"/>
        <v>-0.012516429076938507</v>
      </c>
      <c r="F68" s="9">
        <f t="shared" si="66"/>
        <v>-0.013695866715978333</v>
      </c>
      <c r="G68" s="9">
        <f t="shared" si="66"/>
        <v>-0.012969430306493557</v>
      </c>
      <c r="J68" s="89">
        <v>2221.91</v>
      </c>
      <c r="K68" s="89">
        <v>2441.8</v>
      </c>
      <c r="L68" s="89">
        <v>9974.04</v>
      </c>
      <c r="M68" s="89">
        <v>40141.26</v>
      </c>
      <c r="O68" s="166">
        <v>41019</v>
      </c>
      <c r="P68" s="165">
        <f aca="true" t="shared" si="67" ref="P68:T69">P67*(1+C68)</f>
        <v>105.72795000000006</v>
      </c>
      <c r="Q68" s="165">
        <f t="shared" si="67"/>
        <v>81.29008418364545</v>
      </c>
      <c r="R68" s="165">
        <f t="shared" si="67"/>
        <v>85.72983410866317</v>
      </c>
      <c r="S68" s="165">
        <f t="shared" si="67"/>
        <v>78.69592832655441</v>
      </c>
      <c r="T68" s="165">
        <f t="shared" si="67"/>
        <v>84.25704266223742</v>
      </c>
    </row>
    <row r="69" spans="1:20" ht="15">
      <c r="A69" s="15">
        <v>41026</v>
      </c>
      <c r="B69" s="2">
        <v>21041.7</v>
      </c>
      <c r="C69" s="8">
        <f t="shared" si="61"/>
        <v>-0.004913081167278843</v>
      </c>
      <c r="D69" s="9">
        <f t="shared" si="66"/>
        <v>0.010076915806670916</v>
      </c>
      <c r="E69" s="9">
        <f t="shared" si="66"/>
        <v>-0.01474731755262515</v>
      </c>
      <c r="F69" s="9">
        <f t="shared" si="66"/>
        <v>-0.014756307373942734</v>
      </c>
      <c r="G69" s="9">
        <f t="shared" si="66"/>
        <v>0.0026748039299213655</v>
      </c>
      <c r="J69" s="89">
        <v>2244.3</v>
      </c>
      <c r="K69" s="89">
        <v>2405.79</v>
      </c>
      <c r="L69" s="89">
        <v>9826.86</v>
      </c>
      <c r="M69" s="89">
        <v>40248.63</v>
      </c>
      <c r="O69" s="166">
        <v>41026</v>
      </c>
      <c r="P69" s="165">
        <f t="shared" si="67"/>
        <v>105.20850000000006</v>
      </c>
      <c r="Q69" s="165">
        <f t="shared" si="67"/>
        <v>82.10923751788124</v>
      </c>
      <c r="R69" s="165">
        <f t="shared" si="67"/>
        <v>84.46554902132884</v>
      </c>
      <c r="S69" s="165">
        <f t="shared" si="67"/>
        <v>77.53466701909001</v>
      </c>
      <c r="T69" s="165">
        <f t="shared" si="67"/>
        <v>84.48241373107393</v>
      </c>
    </row>
    <row r="70" spans="1:20" ht="15">
      <c r="A70" s="15">
        <v>41033</v>
      </c>
      <c r="B70" s="2">
        <v>21091.41</v>
      </c>
      <c r="C70" s="8">
        <f aca="true" t="shared" si="68" ref="C70:C76">B70/B69-1</f>
        <v>0.0023624517030467196</v>
      </c>
      <c r="D70" s="9">
        <f aca="true" t="shared" si="69" ref="D70:G71">J70/J69-1</f>
        <v>-0.015247515929243116</v>
      </c>
      <c r="E70" s="9">
        <f t="shared" si="69"/>
        <v>0.007448696685911971</v>
      </c>
      <c r="F70" s="9">
        <f t="shared" si="69"/>
        <v>0.003904604319182159</v>
      </c>
      <c r="G70" s="9">
        <f t="shared" si="69"/>
        <v>-0.008960056528632077</v>
      </c>
      <c r="J70" s="89">
        <v>2210.08</v>
      </c>
      <c r="K70" s="89">
        <v>2423.71</v>
      </c>
      <c r="L70" s="89">
        <v>9865.23</v>
      </c>
      <c r="M70" s="89">
        <v>39888</v>
      </c>
      <c r="O70" s="166">
        <v>41033</v>
      </c>
      <c r="P70" s="165">
        <f aca="true" t="shared" si="70" ref="P70:T71">P69*(1+C70)</f>
        <v>105.45705000000005</v>
      </c>
      <c r="Q70" s="165">
        <f t="shared" si="70"/>
        <v>80.85727561088935</v>
      </c>
      <c r="R70" s="165">
        <f t="shared" si="70"/>
        <v>85.09470727639774</v>
      </c>
      <c r="S70" s="165">
        <f t="shared" si="70"/>
        <v>77.8374092148191</v>
      </c>
      <c r="T70" s="165">
        <f t="shared" si="70"/>
        <v>83.72544652836822</v>
      </c>
    </row>
    <row r="71" spans="1:20" ht="15">
      <c r="A71" s="15">
        <v>41040</v>
      </c>
      <c r="B71" s="2">
        <v>20903.04</v>
      </c>
      <c r="C71" s="8">
        <f t="shared" si="68"/>
        <v>-0.00893112409269925</v>
      </c>
      <c r="D71" s="9">
        <f t="shared" si="69"/>
        <v>-0.014166907985231236</v>
      </c>
      <c r="E71" s="9">
        <f t="shared" si="69"/>
        <v>-0.01833965284625627</v>
      </c>
      <c r="F71" s="9">
        <f t="shared" si="69"/>
        <v>-0.019619410799342707</v>
      </c>
      <c r="G71" s="9">
        <f t="shared" si="69"/>
        <v>-0.015286803048535913</v>
      </c>
      <c r="J71" s="89">
        <v>2178.77</v>
      </c>
      <c r="K71" s="89">
        <v>2379.26</v>
      </c>
      <c r="L71" s="89">
        <v>9671.68</v>
      </c>
      <c r="M71" s="89">
        <v>39278.24</v>
      </c>
      <c r="O71" s="166">
        <v>41040</v>
      </c>
      <c r="P71" s="165">
        <f t="shared" si="70"/>
        <v>104.51520000000006</v>
      </c>
      <c r="Q71" s="165">
        <f t="shared" si="70"/>
        <v>79.7117780273734</v>
      </c>
      <c r="R71" s="165">
        <f t="shared" si="70"/>
        <v>83.5340998858948</v>
      </c>
      <c r="S71" s="165">
        <f t="shared" si="70"/>
        <v>76.31028510787702</v>
      </c>
      <c r="T71" s="165">
        <f t="shared" si="70"/>
        <v>82.44555211713833</v>
      </c>
    </row>
    <row r="72" spans="1:20" ht="15">
      <c r="A72" s="15">
        <v>41047</v>
      </c>
      <c r="B72" s="2">
        <v>20843.81</v>
      </c>
      <c r="C72" s="8">
        <f t="shared" si="68"/>
        <v>-0.0028335591378095826</v>
      </c>
      <c r="D72" s="9">
        <f aca="true" t="shared" si="71" ref="D72:G73">J72/J71-1</f>
        <v>-0.054058023563754</v>
      </c>
      <c r="E72" s="9">
        <f t="shared" si="71"/>
        <v>-0.04702722695291828</v>
      </c>
      <c r="F72" s="9">
        <f t="shared" si="71"/>
        <v>-0.049182768660667064</v>
      </c>
      <c r="G72" s="9">
        <f t="shared" si="71"/>
        <v>-0.05149314225891988</v>
      </c>
      <c r="J72" s="89">
        <v>2060.99</v>
      </c>
      <c r="K72" s="89">
        <v>2267.37</v>
      </c>
      <c r="L72" s="89">
        <v>9196</v>
      </c>
      <c r="M72" s="89">
        <v>37255.68</v>
      </c>
      <c r="O72" s="166">
        <v>41047</v>
      </c>
      <c r="P72" s="165">
        <f aca="true" t="shared" si="72" ref="P72:T74">P71*(1+C72)</f>
        <v>104.21905000000007</v>
      </c>
      <c r="Q72" s="165">
        <f t="shared" si="72"/>
        <v>75.40271685246091</v>
      </c>
      <c r="R72" s="165">
        <f t="shared" si="72"/>
        <v>79.60572281225308</v>
      </c>
      <c r="S72" s="165">
        <f t="shared" si="72"/>
        <v>72.55713400898676</v>
      </c>
      <c r="T72" s="165">
        <f t="shared" si="72"/>
        <v>78.20017157335533</v>
      </c>
    </row>
    <row r="73" spans="1:20" ht="15">
      <c r="A73" s="15">
        <v>41054</v>
      </c>
      <c r="B73" s="2">
        <v>20780.440000000002</v>
      </c>
      <c r="C73" s="8">
        <f t="shared" si="68"/>
        <v>-0.0030402311285699923</v>
      </c>
      <c r="D73" s="9">
        <f t="shared" si="71"/>
        <v>-0.011552700401263327</v>
      </c>
      <c r="E73" s="9">
        <f t="shared" si="71"/>
        <v>-0.009597022100495178</v>
      </c>
      <c r="F73" s="9">
        <f t="shared" si="71"/>
        <v>-0.008572205306655034</v>
      </c>
      <c r="G73" s="9">
        <f t="shared" si="71"/>
        <v>-0.010602678571428603</v>
      </c>
      <c r="J73" s="89">
        <v>2037.18</v>
      </c>
      <c r="K73" s="89">
        <v>2245.61</v>
      </c>
      <c r="L73" s="89">
        <v>9117.17</v>
      </c>
      <c r="M73" s="89">
        <v>36860.67</v>
      </c>
      <c r="O73" s="166">
        <v>41054</v>
      </c>
      <c r="P73" s="165">
        <f t="shared" si="72"/>
        <v>103.90220000000008</v>
      </c>
      <c r="Q73" s="165">
        <f t="shared" si="72"/>
        <v>74.53161185522315</v>
      </c>
      <c r="R73" s="165">
        <f t="shared" si="72"/>
        <v>78.84174493109799</v>
      </c>
      <c r="S73" s="165">
        <f t="shared" si="72"/>
        <v>71.93515935979924</v>
      </c>
      <c r="T73" s="165">
        <f t="shared" si="72"/>
        <v>77.37104028993248</v>
      </c>
    </row>
    <row r="74" spans="1:20" ht="15">
      <c r="A74" s="15">
        <v>41061</v>
      </c>
      <c r="B74" s="2">
        <v>20960.77</v>
      </c>
      <c r="C74" s="8">
        <f t="shared" si="68"/>
        <v>0.008677872075855797</v>
      </c>
      <c r="D74" s="9">
        <f aca="true" t="shared" si="73" ref="D74:G75">J74/J73-1</f>
        <v>0.016866452645323493</v>
      </c>
      <c r="E74" s="9">
        <f t="shared" si="73"/>
        <v>-0.018502767622160632</v>
      </c>
      <c r="F74" s="9">
        <f t="shared" si="73"/>
        <v>0.008873367503293261</v>
      </c>
      <c r="G74" s="9">
        <f t="shared" si="73"/>
        <v>0.012246114896989235</v>
      </c>
      <c r="J74" s="89">
        <v>2071.54</v>
      </c>
      <c r="K74" s="89">
        <v>2204.06</v>
      </c>
      <c r="L74" s="89">
        <v>9198.07</v>
      </c>
      <c r="M74" s="89">
        <v>37312.07</v>
      </c>
      <c r="O74" s="166">
        <v>41061</v>
      </c>
      <c r="P74" s="165">
        <f t="shared" si="72"/>
        <v>104.80385000000007</v>
      </c>
      <c r="Q74" s="165">
        <f t="shared" si="72"/>
        <v>75.7886957571589</v>
      </c>
      <c r="R74" s="165">
        <f t="shared" si="72"/>
        <v>77.38295444571223</v>
      </c>
      <c r="S74" s="165">
        <f t="shared" si="72"/>
        <v>72.5734664652067</v>
      </c>
      <c r="T74" s="165">
        <f t="shared" si="72"/>
        <v>78.31853493902258</v>
      </c>
    </row>
    <row r="75" spans="1:20" ht="15">
      <c r="A75" s="15">
        <v>41068</v>
      </c>
      <c r="B75" s="2">
        <v>20929.83</v>
      </c>
      <c r="C75" s="8">
        <f t="shared" si="68"/>
        <v>-0.0014760908115493132</v>
      </c>
      <c r="D75" s="9">
        <f t="shared" si="73"/>
        <v>0.0397385519951341</v>
      </c>
      <c r="E75" s="9">
        <f t="shared" si="73"/>
        <v>0.002400116149288145</v>
      </c>
      <c r="F75" s="9">
        <f t="shared" si="73"/>
        <v>0.004865151058863537</v>
      </c>
      <c r="G75" s="9">
        <f t="shared" si="73"/>
        <v>0.03255032486806542</v>
      </c>
      <c r="J75" s="89">
        <v>2153.86</v>
      </c>
      <c r="K75" s="89">
        <v>2209.35</v>
      </c>
      <c r="L75" s="89">
        <v>9242.82</v>
      </c>
      <c r="M75" s="89">
        <v>38526.59</v>
      </c>
      <c r="O75" s="166">
        <v>41068</v>
      </c>
      <c r="P75" s="165">
        <f aca="true" t="shared" si="74" ref="P75:T80">P74*(1+C75)</f>
        <v>104.64915000000008</v>
      </c>
      <c r="Q75" s="165">
        <f t="shared" si="74"/>
        <v>78.80042878414817</v>
      </c>
      <c r="R75" s="165">
        <f t="shared" si="74"/>
        <v>77.56868252435702</v>
      </c>
      <c r="S75" s="165">
        <f t="shared" si="74"/>
        <v>72.92654734242531</v>
      </c>
      <c r="T75" s="165">
        <f t="shared" si="74"/>
        <v>80.8678286944787</v>
      </c>
    </row>
    <row r="76" spans="1:20" ht="15">
      <c r="A76" s="15">
        <v>41075</v>
      </c>
      <c r="B76" s="2">
        <v>20950.16</v>
      </c>
      <c r="C76" s="8">
        <f t="shared" si="68"/>
        <v>0.0009713409043454746</v>
      </c>
      <c r="D76" s="9">
        <f aca="true" t="shared" si="75" ref="D76:G80">J76/J75-1</f>
        <v>0.03691976265866859</v>
      </c>
      <c r="E76" s="9">
        <f t="shared" si="75"/>
        <v>0.010260936474528748</v>
      </c>
      <c r="F76" s="9">
        <f t="shared" si="75"/>
        <v>0.010468666489231726</v>
      </c>
      <c r="G76" s="9">
        <f t="shared" si="75"/>
        <v>0.03145827336392881</v>
      </c>
      <c r="J76" s="89">
        <v>2233.38</v>
      </c>
      <c r="K76" s="89">
        <v>2232.02</v>
      </c>
      <c r="L76" s="89">
        <v>9339.58</v>
      </c>
      <c r="M76" s="89">
        <v>39738.57</v>
      </c>
      <c r="O76" s="166">
        <v>41075</v>
      </c>
      <c r="P76" s="165">
        <f t="shared" si="74"/>
        <v>104.75080000000007</v>
      </c>
      <c r="Q76" s="165">
        <f t="shared" si="74"/>
        <v>81.70972191226024</v>
      </c>
      <c r="R76" s="165">
        <f t="shared" si="74"/>
        <v>78.36460984815233</v>
      </c>
      <c r="S76" s="165">
        <f t="shared" si="74"/>
        <v>73.68999104476433</v>
      </c>
      <c r="T76" s="165">
        <f t="shared" si="74"/>
        <v>83.41179095589698</v>
      </c>
    </row>
    <row r="77" spans="1:20" ht="15">
      <c r="A77" s="15">
        <v>41082</v>
      </c>
      <c r="B77" s="2">
        <v>20943.87</v>
      </c>
      <c r="C77" s="8">
        <f>B77/B76-1</f>
        <v>-0.0003002363705099098</v>
      </c>
      <c r="D77" s="9">
        <f t="shared" si="75"/>
        <v>0.003926783619446761</v>
      </c>
      <c r="E77" s="9">
        <f t="shared" si="75"/>
        <v>0.015927276637306198</v>
      </c>
      <c r="F77" s="9">
        <f t="shared" si="75"/>
        <v>0.012283207596058832</v>
      </c>
      <c r="G77" s="9">
        <f t="shared" si="75"/>
        <v>0.011295323409976854</v>
      </c>
      <c r="J77" s="89">
        <v>2242.15</v>
      </c>
      <c r="K77" s="89">
        <v>2267.57</v>
      </c>
      <c r="L77" s="89">
        <v>9454.3</v>
      </c>
      <c r="M77" s="89">
        <v>40187.43</v>
      </c>
      <c r="O77" s="166">
        <v>41082</v>
      </c>
      <c r="P77" s="165">
        <f t="shared" si="74"/>
        <v>104.71935000000006</v>
      </c>
      <c r="Q77" s="165">
        <f t="shared" si="74"/>
        <v>82.03057830981484</v>
      </c>
      <c r="R77" s="165">
        <f t="shared" si="74"/>
        <v>79.61274466777841</v>
      </c>
      <c r="S77" s="165">
        <f t="shared" si="74"/>
        <v>74.59514050251889</v>
      </c>
      <c r="T77" s="165">
        <f t="shared" si="74"/>
        <v>84.35395411094922</v>
      </c>
    </row>
    <row r="78" spans="1:20" ht="15">
      <c r="A78" s="15">
        <v>41089</v>
      </c>
      <c r="B78" s="2">
        <v>21015.11</v>
      </c>
      <c r="C78" s="8">
        <f>B78/B77-1</f>
        <v>0.0034014726027233877</v>
      </c>
      <c r="D78" s="9">
        <f t="shared" si="75"/>
        <v>0.014784916263407943</v>
      </c>
      <c r="E78" s="9">
        <f t="shared" si="75"/>
        <v>0.014341343376389704</v>
      </c>
      <c r="F78" s="9">
        <f t="shared" si="75"/>
        <v>0.006967200110002958</v>
      </c>
      <c r="G78" s="9">
        <f t="shared" si="75"/>
        <v>0.015513557348653562</v>
      </c>
      <c r="J78" s="89">
        <v>2275.3</v>
      </c>
      <c r="K78" s="89">
        <v>2300.09</v>
      </c>
      <c r="L78" s="89">
        <v>9520.17</v>
      </c>
      <c r="M78" s="89">
        <v>40810.88</v>
      </c>
      <c r="O78" s="166">
        <v>41089</v>
      </c>
      <c r="P78" s="165">
        <f t="shared" si="74"/>
        <v>105.07555000000006</v>
      </c>
      <c r="Q78" s="165">
        <f t="shared" si="74"/>
        <v>83.24339354116438</v>
      </c>
      <c r="R78" s="165">
        <f t="shared" si="74"/>
        <v>80.75449837619587</v>
      </c>
      <c r="S78" s="165">
        <f t="shared" si="74"/>
        <v>75.11485977363373</v>
      </c>
      <c r="T78" s="165">
        <f t="shared" si="74"/>
        <v>85.66258401563512</v>
      </c>
    </row>
    <row r="79" spans="1:20" ht="15">
      <c r="A79" s="15">
        <v>41096</v>
      </c>
      <c r="B79" s="2">
        <v>20879.67</v>
      </c>
      <c r="C79" s="8">
        <f>B79/B78-1</f>
        <v>-0.006444886560194152</v>
      </c>
      <c r="D79" s="9">
        <f t="shared" si="75"/>
        <v>-0.0008877950160418591</v>
      </c>
      <c r="E79" s="9">
        <f t="shared" si="75"/>
        <v>-0.006612784717119791</v>
      </c>
      <c r="F79" s="9">
        <f t="shared" si="75"/>
        <v>0.0017426159406817021</v>
      </c>
      <c r="G79" s="9">
        <f t="shared" si="75"/>
        <v>-0.0004464495742310115</v>
      </c>
      <c r="J79" s="89">
        <v>2273.28</v>
      </c>
      <c r="K79" s="89">
        <v>2284.88</v>
      </c>
      <c r="L79" s="89">
        <v>9536.76</v>
      </c>
      <c r="M79" s="89">
        <v>40792.66</v>
      </c>
      <c r="O79" s="166">
        <v>41096</v>
      </c>
      <c r="P79" s="165">
        <f t="shared" si="74"/>
        <v>104.39835000000005</v>
      </c>
      <c r="Q79" s="165">
        <f t="shared" si="74"/>
        <v>83.16949047126012</v>
      </c>
      <c r="R79" s="165">
        <f t="shared" si="74"/>
        <v>80.22048626349509</v>
      </c>
      <c r="S79" s="165">
        <f t="shared" si="74"/>
        <v>75.24575612565734</v>
      </c>
      <c r="T79" s="165">
        <f t="shared" si="74"/>
        <v>85.6243399914738</v>
      </c>
    </row>
    <row r="80" spans="1:20" ht="15">
      <c r="A80" s="15">
        <v>41103</v>
      </c>
      <c r="B80" s="2">
        <v>20811.45</v>
      </c>
      <c r="C80" s="8">
        <f>B80/B79-1</f>
        <v>-0.003267293017561901</v>
      </c>
      <c r="D80" s="9">
        <f t="shared" si="75"/>
        <v>-0.03601404138513531</v>
      </c>
      <c r="E80" s="9">
        <f t="shared" si="75"/>
        <v>-0.021033927383494966</v>
      </c>
      <c r="F80" s="9">
        <f t="shared" si="75"/>
        <v>-0.011524878470256184</v>
      </c>
      <c r="G80" s="9">
        <f t="shared" si="75"/>
        <v>-0.01204554937089175</v>
      </c>
      <c r="J80" s="89">
        <v>2191.41</v>
      </c>
      <c r="K80" s="89">
        <v>2236.82</v>
      </c>
      <c r="L80" s="89">
        <v>9426.85</v>
      </c>
      <c r="M80" s="89">
        <v>40301.29</v>
      </c>
      <c r="O80" s="166">
        <v>41103</v>
      </c>
      <c r="P80" s="165">
        <f t="shared" si="74"/>
        <v>104.05725000000007</v>
      </c>
      <c r="Q80" s="165">
        <f t="shared" si="74"/>
        <v>80.17422099944754</v>
      </c>
      <c r="R80" s="165">
        <f t="shared" si="74"/>
        <v>78.53313438076007</v>
      </c>
      <c r="S80" s="165">
        <f t="shared" si="74"/>
        <v>74.3785579309066</v>
      </c>
      <c r="T80" s="165">
        <f t="shared" si="74"/>
        <v>84.59294777675649</v>
      </c>
    </row>
  </sheetData>
  <sheetProtection/>
  <mergeCells count="6">
    <mergeCell ref="P1:T1"/>
    <mergeCell ref="B1:B2"/>
    <mergeCell ref="A1:A2"/>
    <mergeCell ref="J1:M1"/>
    <mergeCell ref="D1:G1"/>
    <mergeCell ref="C1:C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="90" zoomScaleNormal="90" zoomScalePageLayoutView="0" workbookViewId="0" topLeftCell="A1">
      <selection activeCell="H35" sqref="H35"/>
    </sheetView>
  </sheetViews>
  <sheetFormatPr defaultColWidth="8.796875" defaultRowHeight="14.25"/>
  <cols>
    <col min="1" max="1" width="18.3984375" style="4" bestFit="1" customWidth="1"/>
    <col min="2" max="2" width="10.5" style="4" bestFit="1" customWidth="1"/>
    <col min="3" max="3" width="10.19921875" style="4" customWidth="1"/>
    <col min="4" max="4" width="10.5" style="4" bestFit="1" customWidth="1"/>
    <col min="5" max="5" width="10" style="4" customWidth="1"/>
    <col min="6" max="6" width="12" style="4" bestFit="1" customWidth="1"/>
    <col min="7" max="7" width="10.5" style="4" bestFit="1" customWidth="1"/>
    <col min="8" max="9" width="12" style="4" bestFit="1" customWidth="1"/>
    <col min="10" max="10" width="12.8984375" style="4" customWidth="1"/>
    <col min="11" max="11" width="19.19921875" style="4" customWidth="1"/>
    <col min="12" max="12" width="10.69921875" style="4" bestFit="1" customWidth="1"/>
    <col min="13" max="16384" width="9" style="4" customWidth="1"/>
  </cols>
  <sheetData>
    <row r="1" spans="1:13" s="3" customFormat="1" ht="15.75" thickBot="1">
      <c r="A1" s="103" t="s">
        <v>0</v>
      </c>
      <c r="B1" s="103" t="s">
        <v>1</v>
      </c>
      <c r="C1" s="103" t="s">
        <v>2</v>
      </c>
      <c r="D1" s="103" t="s">
        <v>3</v>
      </c>
      <c r="E1" s="104" t="s">
        <v>9</v>
      </c>
      <c r="F1" s="103" t="s">
        <v>8</v>
      </c>
      <c r="G1" s="103" t="s">
        <v>6</v>
      </c>
      <c r="H1" s="103" t="s">
        <v>5</v>
      </c>
      <c r="I1" s="105" t="s">
        <v>10</v>
      </c>
      <c r="J1" s="106" t="s">
        <v>4</v>
      </c>
      <c r="K1" s="106" t="s">
        <v>12</v>
      </c>
      <c r="L1" s="135" t="s">
        <v>35</v>
      </c>
      <c r="M1" s="136" t="s">
        <v>36</v>
      </c>
    </row>
    <row r="2" spans="1:13" s="3" customFormat="1" ht="15">
      <c r="A2" s="22" t="s">
        <v>26</v>
      </c>
      <c r="B2" s="19">
        <v>20.5</v>
      </c>
      <c r="C2" s="18">
        <v>98</v>
      </c>
      <c r="D2" s="19">
        <f aca="true" t="shared" si="0" ref="D2:D9">ROUND(B2*C2,2)</f>
        <v>2009</v>
      </c>
      <c r="E2" s="75">
        <f>ROUND(IF(D2*0.0029&gt;3,D2*0.0029,3),2)</f>
        <v>5.83</v>
      </c>
      <c r="F2" s="20">
        <f aca="true" t="shared" si="1" ref="F2:F9">SUM(D2:E2)</f>
        <v>2014.83</v>
      </c>
      <c r="G2" s="21">
        <v>19.5</v>
      </c>
      <c r="H2" s="23">
        <f aca="true" t="shared" si="2" ref="H2:H9">G2*C2</f>
        <v>1911</v>
      </c>
      <c r="I2" s="72">
        <f>H2-ROUND(IF(H2*0.0029&gt;3,H2*0.0029,3),2)</f>
        <v>1905.46</v>
      </c>
      <c r="J2" s="70">
        <f aca="true" t="shared" si="3" ref="J2:J9">K2/F2</f>
        <v>-0.05428249529736995</v>
      </c>
      <c r="K2" s="71">
        <f aca="true" t="shared" si="4" ref="K2:K9">I2-F2</f>
        <v>-109.36999999999989</v>
      </c>
      <c r="L2" s="65">
        <v>19.5</v>
      </c>
      <c r="M2" s="134">
        <f aca="true" t="shared" si="5" ref="M2:M8">L2/B2-1-0.78%</f>
        <v>-0.056580487804878093</v>
      </c>
    </row>
    <row r="3" spans="1:14" s="25" customFormat="1" ht="15">
      <c r="A3" s="26" t="s">
        <v>29</v>
      </c>
      <c r="B3" s="28">
        <v>2580</v>
      </c>
      <c r="C3" s="27">
        <v>1</v>
      </c>
      <c r="D3" s="28">
        <f t="shared" si="0"/>
        <v>2580</v>
      </c>
      <c r="E3" s="75">
        <f aca="true" t="shared" si="6" ref="E3:E10">ROUND(IF(D3*0.0029&gt;3,D3*0.0029,3),2)</f>
        <v>7.48</v>
      </c>
      <c r="F3" s="37">
        <f t="shared" si="1"/>
        <v>2587.48</v>
      </c>
      <c r="G3" s="30">
        <v>2690</v>
      </c>
      <c r="H3" s="38">
        <f t="shared" si="2"/>
        <v>2690</v>
      </c>
      <c r="I3" s="72">
        <f aca="true" t="shared" si="7" ref="I3:I10">H3-ROUND(IF(H3*0.0029&gt;3,H3*0.0029,3),2)</f>
        <v>2682.2</v>
      </c>
      <c r="J3" s="43">
        <f t="shared" si="3"/>
        <v>0.036607046238038475</v>
      </c>
      <c r="K3" s="44">
        <f t="shared" si="4"/>
        <v>94.7199999999998</v>
      </c>
      <c r="L3" s="65">
        <v>2690</v>
      </c>
      <c r="M3" s="134">
        <f t="shared" si="5"/>
        <v>0.034835658914728757</v>
      </c>
      <c r="N3" s="54"/>
    </row>
    <row r="4" spans="1:14" s="25" customFormat="1" ht="15">
      <c r="A4" s="26" t="s">
        <v>27</v>
      </c>
      <c r="B4" s="28">
        <v>276.5</v>
      </c>
      <c r="C4" s="27">
        <v>4</v>
      </c>
      <c r="D4" s="28">
        <f t="shared" si="0"/>
        <v>1106</v>
      </c>
      <c r="E4" s="75">
        <f t="shared" si="6"/>
        <v>3.21</v>
      </c>
      <c r="F4" s="28">
        <f t="shared" si="1"/>
        <v>1109.21</v>
      </c>
      <c r="G4" s="30">
        <v>278</v>
      </c>
      <c r="H4" s="30">
        <f t="shared" si="2"/>
        <v>1112</v>
      </c>
      <c r="I4" s="72">
        <f t="shared" si="7"/>
        <v>1108.78</v>
      </c>
      <c r="J4" s="41">
        <f t="shared" si="3"/>
        <v>-0.00038766329189248534</v>
      </c>
      <c r="K4" s="42">
        <f t="shared" si="4"/>
        <v>-0.43000000000006366</v>
      </c>
      <c r="L4" s="65">
        <v>278</v>
      </c>
      <c r="M4" s="134">
        <f t="shared" si="5"/>
        <v>-0.002375045207956699</v>
      </c>
      <c r="N4" s="54"/>
    </row>
    <row r="5" spans="1:14" s="25" customFormat="1" ht="15">
      <c r="A5" s="26" t="s">
        <v>23</v>
      </c>
      <c r="B5" s="28">
        <v>42</v>
      </c>
      <c r="C5" s="27">
        <v>48</v>
      </c>
      <c r="D5" s="28">
        <f t="shared" si="0"/>
        <v>2016</v>
      </c>
      <c r="E5" s="75">
        <f t="shared" si="6"/>
        <v>5.85</v>
      </c>
      <c r="F5" s="28">
        <f t="shared" si="1"/>
        <v>2021.85</v>
      </c>
      <c r="G5" s="30">
        <v>41.9</v>
      </c>
      <c r="H5" s="30">
        <f t="shared" si="2"/>
        <v>2011.1999999999998</v>
      </c>
      <c r="I5" s="72">
        <f t="shared" si="7"/>
        <v>2005.37</v>
      </c>
      <c r="J5" s="41">
        <f t="shared" si="3"/>
        <v>-0.008150950861834467</v>
      </c>
      <c r="K5" s="42">
        <f t="shared" si="4"/>
        <v>-16.480000000000018</v>
      </c>
      <c r="L5" s="65">
        <v>41.9</v>
      </c>
      <c r="M5" s="134">
        <f t="shared" si="5"/>
        <v>-0.010180952380952374</v>
      </c>
      <c r="N5" s="54"/>
    </row>
    <row r="6" spans="1:14" s="25" customFormat="1" ht="15">
      <c r="A6" s="26" t="s">
        <v>38</v>
      </c>
      <c r="B6" s="57">
        <v>136</v>
      </c>
      <c r="C6" s="27">
        <v>14</v>
      </c>
      <c r="D6" s="28">
        <f t="shared" si="0"/>
        <v>1904</v>
      </c>
      <c r="E6" s="75">
        <f t="shared" si="6"/>
        <v>5.52</v>
      </c>
      <c r="F6" s="28">
        <f t="shared" si="1"/>
        <v>1909.52</v>
      </c>
      <c r="G6" s="30">
        <v>129</v>
      </c>
      <c r="H6" s="30">
        <f t="shared" si="2"/>
        <v>1806</v>
      </c>
      <c r="I6" s="72">
        <f t="shared" si="7"/>
        <v>1800.76</v>
      </c>
      <c r="J6" s="41">
        <f t="shared" si="3"/>
        <v>-0.05695672210817378</v>
      </c>
      <c r="K6" s="42">
        <f t="shared" si="4"/>
        <v>-108.75999999999999</v>
      </c>
      <c r="L6" s="66">
        <v>129</v>
      </c>
      <c r="M6" s="134">
        <f t="shared" si="5"/>
        <v>-0.05927058823529416</v>
      </c>
      <c r="N6" s="55" t="s">
        <v>39</v>
      </c>
    </row>
    <row r="7" spans="1:14" s="25" customFormat="1" ht="15">
      <c r="A7" s="26" t="s">
        <v>37</v>
      </c>
      <c r="B7" s="28">
        <v>13.35</v>
      </c>
      <c r="C7" s="27">
        <v>150</v>
      </c>
      <c r="D7" s="28">
        <f t="shared" si="0"/>
        <v>2002.5</v>
      </c>
      <c r="E7" s="75">
        <f t="shared" si="6"/>
        <v>5.81</v>
      </c>
      <c r="F7" s="28">
        <f t="shared" si="1"/>
        <v>2008.31</v>
      </c>
      <c r="G7" s="30">
        <v>12.12</v>
      </c>
      <c r="H7" s="30">
        <f t="shared" si="2"/>
        <v>1817.9999999999998</v>
      </c>
      <c r="I7" s="72">
        <f t="shared" si="7"/>
        <v>1812.7299999999998</v>
      </c>
      <c r="J7" s="41">
        <f t="shared" si="3"/>
        <v>-0.0973853638133556</v>
      </c>
      <c r="K7" s="42">
        <f t="shared" si="4"/>
        <v>-195.58000000000015</v>
      </c>
      <c r="L7" s="66">
        <v>12.12</v>
      </c>
      <c r="M7" s="134">
        <f t="shared" si="5"/>
        <v>-0.09993483146067414</v>
      </c>
      <c r="N7" s="54"/>
    </row>
    <row r="8" spans="1:14" s="25" customFormat="1" ht="15">
      <c r="A8" s="26" t="s">
        <v>34</v>
      </c>
      <c r="B8" s="28">
        <v>364</v>
      </c>
      <c r="C8" s="27">
        <v>6</v>
      </c>
      <c r="D8" s="28">
        <f t="shared" si="0"/>
        <v>2184</v>
      </c>
      <c r="E8" s="75">
        <f t="shared" si="6"/>
        <v>6.33</v>
      </c>
      <c r="F8" s="28">
        <f t="shared" si="1"/>
        <v>2190.33</v>
      </c>
      <c r="G8" s="30">
        <v>368</v>
      </c>
      <c r="H8" s="30">
        <f t="shared" si="2"/>
        <v>2208</v>
      </c>
      <c r="I8" s="72">
        <f t="shared" si="7"/>
        <v>2201.6</v>
      </c>
      <c r="J8" s="41">
        <f t="shared" si="3"/>
        <v>0.005145343395744012</v>
      </c>
      <c r="K8" s="42">
        <f t="shared" si="4"/>
        <v>11.269999999999982</v>
      </c>
      <c r="L8" s="66">
        <v>368</v>
      </c>
      <c r="M8" s="134">
        <f t="shared" si="5"/>
        <v>0.0031890109890109495</v>
      </c>
      <c r="N8" s="54"/>
    </row>
    <row r="9" spans="1:14" s="25" customFormat="1" ht="15">
      <c r="A9" s="26" t="s">
        <v>24</v>
      </c>
      <c r="B9" s="28">
        <f>(1019.86*2+1002.79*2)/4</f>
        <v>1011.325</v>
      </c>
      <c r="C9" s="27">
        <v>4</v>
      </c>
      <c r="D9" s="28">
        <f t="shared" si="0"/>
        <v>4045.3</v>
      </c>
      <c r="E9" s="75">
        <f t="shared" si="6"/>
        <v>11.73</v>
      </c>
      <c r="F9" s="28">
        <f t="shared" si="1"/>
        <v>4057.03</v>
      </c>
      <c r="G9" s="52">
        <f>1010+19.5</f>
        <v>1029.5</v>
      </c>
      <c r="H9" s="30">
        <f t="shared" si="2"/>
        <v>4118</v>
      </c>
      <c r="I9" s="72">
        <f t="shared" si="7"/>
        <v>4106.06</v>
      </c>
      <c r="J9" s="41">
        <f t="shared" si="3"/>
        <v>0.012085195327616557</v>
      </c>
      <c r="K9" s="42">
        <f t="shared" si="4"/>
        <v>49.0300000000002</v>
      </c>
      <c r="L9" s="67">
        <v>0.999</v>
      </c>
      <c r="M9" s="134">
        <f>99.9/100.25-1</f>
        <v>-0.003491271820448838</v>
      </c>
      <c r="N9" s="54"/>
    </row>
    <row r="10" spans="1:14" s="25" customFormat="1" ht="15.75">
      <c r="A10" s="58" t="s">
        <v>44</v>
      </c>
      <c r="B10" s="28">
        <v>14.15</v>
      </c>
      <c r="C10" s="27">
        <v>75</v>
      </c>
      <c r="D10" s="28">
        <f>ROUND(B10*C10,2)</f>
        <v>1061.25</v>
      </c>
      <c r="E10" s="76">
        <f t="shared" si="6"/>
        <v>3.08</v>
      </c>
      <c r="F10" s="28">
        <f>SUM(D10:E10)</f>
        <v>1064.33</v>
      </c>
      <c r="G10" s="30">
        <v>13.66</v>
      </c>
      <c r="H10" s="30">
        <f>G10*C10</f>
        <v>1024.5</v>
      </c>
      <c r="I10" s="72">
        <f t="shared" si="7"/>
        <v>1021.5</v>
      </c>
      <c r="J10" s="41">
        <f>K10/F10</f>
        <v>-0.040241278550825335</v>
      </c>
      <c r="K10" s="42">
        <f>I10-F10</f>
        <v>-42.82999999999993</v>
      </c>
      <c r="L10" s="77">
        <v>13.9</v>
      </c>
      <c r="M10" s="134">
        <f>L10/B10-1-0.58%</f>
        <v>-0.023467844522968212</v>
      </c>
      <c r="N10" s="55"/>
    </row>
    <row r="11" spans="1:14" s="25" customFormat="1" ht="16.5" thickBot="1">
      <c r="A11" s="58" t="s">
        <v>43</v>
      </c>
      <c r="B11" s="28">
        <v>6.6</v>
      </c>
      <c r="C11" s="27">
        <v>160</v>
      </c>
      <c r="D11" s="28">
        <f>ROUND(B11*C11,2)</f>
        <v>1056</v>
      </c>
      <c r="E11" s="29">
        <f>IF(D11&lt;&gt;0,ROUND(IF(D11*0.0029&gt;3,D11*0.0029,3),2),0)</f>
        <v>3.06</v>
      </c>
      <c r="F11" s="28">
        <f>SUM(D11:E11)</f>
        <v>1059.06</v>
      </c>
      <c r="G11" s="30">
        <v>5.82</v>
      </c>
      <c r="H11" s="38">
        <f>G11*C11</f>
        <v>931.2</v>
      </c>
      <c r="I11" s="86">
        <f>H11-ROUND(IF(H11*0.0029&gt;3,H11*0.0029,3),2)</f>
        <v>928.2</v>
      </c>
      <c r="J11" s="73">
        <f>K11/F11</f>
        <v>-0.1235624043963514</v>
      </c>
      <c r="K11" s="74">
        <f>I11-F11</f>
        <v>-130.8599999999999</v>
      </c>
      <c r="L11" s="85">
        <v>5.9</v>
      </c>
      <c r="M11" s="134">
        <f>L11/B11-1-0.58%</f>
        <v>-0.11186060606060597</v>
      </c>
      <c r="N11" s="55"/>
    </row>
    <row r="12" spans="1:13" s="5" customFormat="1" ht="16.5" thickBot="1">
      <c r="A12" s="137" t="s">
        <v>57</v>
      </c>
      <c r="B12" s="116"/>
      <c r="C12" s="117"/>
      <c r="D12" s="116"/>
      <c r="E12" s="47">
        <f>SUBTOTAL(109,E2:E11)</f>
        <v>57.89999999999999</v>
      </c>
      <c r="F12" s="46">
        <f>SUBTOTAL(109,F2:F11)</f>
        <v>20021.95</v>
      </c>
      <c r="G12" s="6"/>
      <c r="H12" s="45">
        <f>SUBTOTAL(109,H2:H11)</f>
        <v>19629.9</v>
      </c>
      <c r="I12" s="46">
        <f>SUBTOTAL(109,I2:I11)</f>
        <v>19572.66</v>
      </c>
      <c r="J12" s="83">
        <f>K12/F12</f>
        <v>-0.02243987224021636</v>
      </c>
      <c r="K12" s="84">
        <f>SUBTOTAL(109,K2:K11)</f>
        <v>-449.28999999999996</v>
      </c>
      <c r="L12"/>
      <c r="M12" s="138"/>
    </row>
    <row r="13" spans="7:12" ht="16.5" thickBot="1">
      <c r="G13" s="6"/>
      <c r="H13" s="6"/>
      <c r="I13" s="6"/>
      <c r="J13" s="68" t="s">
        <v>7</v>
      </c>
      <c r="K13" s="69" t="s">
        <v>31</v>
      </c>
      <c r="L13" s="5"/>
    </row>
    <row r="14" spans="1:10" ht="15.75">
      <c r="A14" s="48" t="s">
        <v>21</v>
      </c>
      <c r="B14" s="49">
        <f>E12+H12-I12</f>
        <v>115.14000000000306</v>
      </c>
      <c r="I14"/>
      <c r="J14"/>
    </row>
    <row r="16" spans="1:9" ht="15">
      <c r="A16"/>
      <c r="I16" s="56"/>
    </row>
    <row r="17" spans="1:4" ht="15">
      <c r="A17" s="185" t="s">
        <v>48</v>
      </c>
      <c r="B17" s="185"/>
      <c r="C17" s="185"/>
      <c r="D17" s="82">
        <f>2*20.86+4*21.6+111.88</f>
        <v>240</v>
      </c>
    </row>
    <row r="18" spans="1:4" ht="15">
      <c r="A18" s="185" t="s">
        <v>30</v>
      </c>
      <c r="B18" s="185"/>
      <c r="C18" s="185"/>
      <c r="D18" s="31">
        <f>ROUND(4*4.59,2)</f>
        <v>18.36</v>
      </c>
    </row>
    <row r="19" spans="1:4" ht="15">
      <c r="A19" s="185" t="s">
        <v>40</v>
      </c>
      <c r="B19" s="185"/>
      <c r="C19" s="185"/>
      <c r="D19" s="31">
        <v>123.47</v>
      </c>
    </row>
    <row r="20" ht="15">
      <c r="D20" s="31">
        <f>SUM(D17:D19)</f>
        <v>381.83000000000004</v>
      </c>
    </row>
  </sheetData>
  <sheetProtection/>
  <mergeCells count="3">
    <mergeCell ref="A17:C17"/>
    <mergeCell ref="A18:C18"/>
    <mergeCell ref="A19:C19"/>
  </mergeCells>
  <conditionalFormatting sqref="J9:K11 J2:J12">
    <cfRule type="cellIs" priority="99" dxfId="16" operator="greaterThan">
      <formula>0</formula>
    </cfRule>
    <cfRule type="cellIs" priority="100" dxfId="17" operator="lessThan">
      <formula>0</formula>
    </cfRule>
  </conditionalFormatting>
  <conditionalFormatting sqref="K2:K11 J9:K12">
    <cfRule type="cellIs" priority="97" dxfId="17" operator="lessThan">
      <formula>0</formula>
    </cfRule>
    <cfRule type="cellIs" priority="98" dxfId="16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Porębski</dc:creator>
  <cp:keywords/>
  <dc:description/>
  <cp:lastModifiedBy>Łukasz</cp:lastModifiedBy>
  <dcterms:created xsi:type="dcterms:W3CDTF">2008-09-25T06:49:36Z</dcterms:created>
  <dcterms:modified xsi:type="dcterms:W3CDTF">2012-07-18T13:16:04Z</dcterms:modified>
  <cp:category/>
  <cp:version/>
  <cp:contentType/>
  <cp:contentStatus/>
</cp:coreProperties>
</file>